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515" windowHeight="12600" activeTab="5"/>
  </bookViews>
  <sheets>
    <sheet name="alt a" sheetId="4" r:id="rId1"/>
    <sheet name="alt b" sheetId="5" r:id="rId2"/>
    <sheet name="BALANCE AÑO 1" sheetId="6" r:id="rId3"/>
    <sheet name="BALANCE AÑO 2" sheetId="7" r:id="rId4"/>
    <sheet name="gastos anticipados opcion uno" sheetId="2" r:id="rId5"/>
    <sheet name="gastos anticipados opcion2" sheetId="8" r:id="rId6"/>
    <sheet name="Hoja3" sheetId="3" r:id="rId7"/>
  </sheets>
  <externalReferences>
    <externalReference r:id="rId8"/>
    <externalReference r:id="rId9"/>
  </externalReferences>
  <definedNames>
    <definedName name="\b" localSheetId="2">#REF!</definedName>
    <definedName name="\b" localSheetId="3">#REF!</definedName>
    <definedName name="\b" localSheetId="5">#REF!</definedName>
    <definedName name="\b">#REF!</definedName>
    <definedName name="\z" localSheetId="2">#REF!</definedName>
    <definedName name="\z" localSheetId="3">#REF!</definedName>
    <definedName name="\z" localSheetId="5">#REF!</definedName>
    <definedName name="\z">#REF!</definedName>
    <definedName name="aa" localSheetId="2">#REF!</definedName>
    <definedName name="aa" localSheetId="3">#REF!</definedName>
    <definedName name="aa" localSheetId="5">#REF!</definedName>
    <definedName name="aa">#REF!</definedName>
    <definedName name="aaa" localSheetId="2">#REF!</definedName>
    <definedName name="aaa" localSheetId="3">#REF!</definedName>
    <definedName name="aaa" localSheetId="5">#REF!</definedName>
    <definedName name="aaa">#REF!</definedName>
    <definedName name="aaaa" localSheetId="2">#REF!</definedName>
    <definedName name="aaaa" localSheetId="3">#REF!</definedName>
    <definedName name="aaaa" localSheetId="5">#REF!</definedName>
    <definedName name="aaaa">#REF!</definedName>
    <definedName name="balance2017" localSheetId="2">#REF!</definedName>
    <definedName name="balance2017" localSheetId="3">#REF!</definedName>
    <definedName name="balance2017" localSheetId="5">#REF!</definedName>
    <definedName name="balance2017">#REF!</definedName>
    <definedName name="casa" localSheetId="2">#REF!</definedName>
    <definedName name="casa" localSheetId="3">#REF!</definedName>
    <definedName name="casa" localSheetId="5">#REF!</definedName>
    <definedName name="casa">#REF!</definedName>
    <definedName name="CBDDSDSGSE" localSheetId="2">#REF!</definedName>
    <definedName name="CBDDSDSGSE" localSheetId="3">#REF!</definedName>
    <definedName name="CBDDSDSGSE" localSheetId="5">#REF!</definedName>
    <definedName name="CBDDSDSGSE">#REF!</definedName>
    <definedName name="CC" localSheetId="2">#REF!</definedName>
    <definedName name="CC" localSheetId="3">#REF!</definedName>
    <definedName name="CC" localSheetId="5">#REF!</definedName>
    <definedName name="CC">#REF!</definedName>
    <definedName name="CCCC" localSheetId="2">[1]bien!#REF!</definedName>
    <definedName name="CCCC" localSheetId="3">[1]bien!#REF!</definedName>
    <definedName name="CCCC" localSheetId="5">[1]bien!#REF!</definedName>
    <definedName name="CCCC">[1]bien!#REF!</definedName>
    <definedName name="CCCCC" localSheetId="2">[1]bien!#REF!</definedName>
    <definedName name="CCCCC" localSheetId="3">[1]bien!#REF!</definedName>
    <definedName name="CCCCC" localSheetId="5">[1]bien!#REF!</definedName>
    <definedName name="CCCCC">[1]bien!#REF!</definedName>
    <definedName name="CERTIFICADO" localSheetId="2">#REF!</definedName>
    <definedName name="CERTIFICADO" localSheetId="3">#REF!</definedName>
    <definedName name="CERTIFICADO" localSheetId="5">#REF!</definedName>
    <definedName name="CERTIFICADO">#REF!</definedName>
    <definedName name="DD" localSheetId="2">#REF!</definedName>
    <definedName name="DD" localSheetId="3">#REF!</definedName>
    <definedName name="DD" localSheetId="5">#REF!</definedName>
    <definedName name="DD">#REF!</definedName>
    <definedName name="DFF" localSheetId="2">#REF!</definedName>
    <definedName name="DFF" localSheetId="3">#REF!</definedName>
    <definedName name="DFF" localSheetId="5">#REF!</definedName>
    <definedName name="DFF">#REF!</definedName>
    <definedName name="DFFFD" localSheetId="2">#REF!</definedName>
    <definedName name="DFFFD" localSheetId="3">#REF!</definedName>
    <definedName name="DFFFD" localSheetId="5">#REF!</definedName>
    <definedName name="DFFFD">#REF!</definedName>
    <definedName name="DOS" localSheetId="2">#REF!</definedName>
    <definedName name="DOS" localSheetId="3">#REF!</definedName>
    <definedName name="DOS" localSheetId="5">#REF!</definedName>
    <definedName name="DOS">#REF!</definedName>
    <definedName name="EDEE" localSheetId="2">#REF!</definedName>
    <definedName name="EDEE" localSheetId="3">#REF!</definedName>
    <definedName name="EDEE" localSheetId="5">#REF!</definedName>
    <definedName name="EDEE">#REF!</definedName>
    <definedName name="Excel_BuiltIn_Print_Area_2_1" localSheetId="2">#REF!</definedName>
    <definedName name="Excel_BuiltIn_Print_Area_2_1" localSheetId="3">#REF!</definedName>
    <definedName name="Excel_BuiltIn_Print_Area_2_1" localSheetId="5">#REF!</definedName>
    <definedName name="Excel_BuiltIn_Print_Area_2_1">#REF!</definedName>
    <definedName name="Factores">'[1]calculos planilla'!$A$2:$M$134</definedName>
    <definedName name="fecha">[1]bien!$F$8</definedName>
    <definedName name="fecha_act" localSheetId="2">[1]bien!#REF!</definedName>
    <definedName name="fecha_act" localSheetId="3">[1]bien!#REF!</definedName>
    <definedName name="fecha_act" localSheetId="5">[1]bien!#REF!</definedName>
    <definedName name="fecha_act">[1]bien!#REF!</definedName>
    <definedName name="FF" localSheetId="2">#REF!</definedName>
    <definedName name="FF" localSheetId="3">#REF!</definedName>
    <definedName name="FF" localSheetId="5">#REF!</definedName>
    <definedName name="FF">#REF!</definedName>
    <definedName name="FFF" localSheetId="2">#REF!</definedName>
    <definedName name="FFF" localSheetId="3">#REF!</definedName>
    <definedName name="FFF" localSheetId="5">#REF!</definedName>
    <definedName name="FFF">#REF!</definedName>
    <definedName name="FFFF" localSheetId="2">[1]bien!#REF!</definedName>
    <definedName name="FFFF" localSheetId="3">[1]bien!#REF!</definedName>
    <definedName name="FFFF" localSheetId="5">[1]bien!#REF!</definedName>
    <definedName name="FFFF">[1]bien!#REF!</definedName>
    <definedName name="g" localSheetId="2">#REF!</definedName>
    <definedName name="g" localSheetId="3">#REF!</definedName>
    <definedName name="g" localSheetId="5">#REF!</definedName>
    <definedName name="g">#REF!</definedName>
    <definedName name="ggg" localSheetId="2">#REF!</definedName>
    <definedName name="ggg" localSheetId="3">#REF!</definedName>
    <definedName name="ggg" localSheetId="5">#REF!</definedName>
    <definedName name="ggg">#REF!</definedName>
    <definedName name="GVKey">""</definedName>
    <definedName name="HGHHH" localSheetId="2">#REF!</definedName>
    <definedName name="HGHHH" localSheetId="3">#REF!</definedName>
    <definedName name="HGHHH" localSheetId="5">#REF!</definedName>
    <definedName name="HGHHH">#REF!</definedName>
    <definedName name="HHHH" localSheetId="2">#REF!</definedName>
    <definedName name="HHHH" localSheetId="3">#REF!</definedName>
    <definedName name="HHHH" localSheetId="5">#REF!</definedName>
    <definedName name="HHHH">#REF!</definedName>
    <definedName name="HISTORICO">[1]bien!$F$11</definedName>
    <definedName name="inicial">'[1]calculos planilla'!$S$3:$U$14</definedName>
    <definedName name="INVERSION" localSheetId="2">#REF!</definedName>
    <definedName name="INVERSION" localSheetId="3">#REF!</definedName>
    <definedName name="INVERSION" localSheetId="5">#REF!</definedName>
    <definedName name="INVERSION">#REF!</definedName>
    <definedName name="ipc">'[1]calculos planilla'!$P$3:$Q$146</definedName>
    <definedName name="matriz" localSheetId="2">#REF!</definedName>
    <definedName name="matriz" localSheetId="3">#REF!</definedName>
    <definedName name="matriz" localSheetId="5">#REF!</definedName>
    <definedName name="matriz">#REF!</definedName>
    <definedName name="matriz2" localSheetId="2">#REF!</definedName>
    <definedName name="matriz2" localSheetId="3">#REF!</definedName>
    <definedName name="matriz2" localSheetId="5">#REF!</definedName>
    <definedName name="matriz2">#REF!</definedName>
    <definedName name="mmm" localSheetId="2">#REF!</definedName>
    <definedName name="mmm" localSheetId="3">#REF!</definedName>
    <definedName name="mmm" localSheetId="5">#REF!</definedName>
    <definedName name="mmm">#REF!</definedName>
    <definedName name="operacion" localSheetId="2">#REF!</definedName>
    <definedName name="operacion" localSheetId="3">#REF!</definedName>
    <definedName name="operacion" localSheetId="5">#REF!</definedName>
    <definedName name="operacion">#REF!</definedName>
    <definedName name="OPERACION1" localSheetId="2">#REF!</definedName>
    <definedName name="OPERACION1" localSheetId="3">#REF!</definedName>
    <definedName name="OPERACION1" localSheetId="5">#REF!</definedName>
    <definedName name="OPERACION1">#REF!</definedName>
    <definedName name="operacion4" localSheetId="2">#REF!</definedName>
    <definedName name="operacion4" localSheetId="3">#REF!</definedName>
    <definedName name="operacion4" localSheetId="5">#REF!</definedName>
    <definedName name="operacion4">#REF!</definedName>
    <definedName name="ORDENADO" localSheetId="2">#REF!</definedName>
    <definedName name="ORDENADO" localSheetId="3">#REF!</definedName>
    <definedName name="ORDENADO" localSheetId="5">#REF!</definedName>
    <definedName name="ORDENADO">#REF!</definedName>
    <definedName name="pert" localSheetId="2">#REF!</definedName>
    <definedName name="pert" localSheetId="3">#REF!</definedName>
    <definedName name="pert" localSheetId="5">#REF!</definedName>
    <definedName name="pert">#REF!</definedName>
    <definedName name="RRRR" localSheetId="2">#REF!</definedName>
    <definedName name="RRRR" localSheetId="3">#REF!</definedName>
    <definedName name="RRRR" localSheetId="5">#REF!</definedName>
    <definedName name="RRRR">#REF!</definedName>
    <definedName name="SPSet">"current"</definedName>
    <definedName name="SPWS_WBID">""</definedName>
    <definedName name="SRDF" localSheetId="2">#REF!</definedName>
    <definedName name="SRDF" localSheetId="3">#REF!</definedName>
    <definedName name="SRDF" localSheetId="5">#REF!</definedName>
    <definedName name="SRDF">#REF!</definedName>
    <definedName name="ssss" localSheetId="2">#REF!</definedName>
    <definedName name="ssss" localSheetId="3">#REF!</definedName>
    <definedName name="ssss" localSheetId="5">#REF!</definedName>
    <definedName name="ssss">#REF!</definedName>
    <definedName name="TABLAS" localSheetId="2">#REF!</definedName>
    <definedName name="TABLAS" localSheetId="3">#REF!</definedName>
    <definedName name="TABLAS" localSheetId="5">#REF!</definedName>
    <definedName name="TABLAS">#REF!</definedName>
    <definedName name="TTTT" localSheetId="2">#REF!</definedName>
    <definedName name="TTTT" localSheetId="3">#REF!</definedName>
    <definedName name="TTTT" localSheetId="5">#REF!</definedName>
    <definedName name="TTTT">#REF!</definedName>
    <definedName name="v">'[2]Registrar '!$A$2:$B$182</definedName>
    <definedName name="VFGDGDS" localSheetId="2">#REF!</definedName>
    <definedName name="VFGDGDS" localSheetId="3">#REF!</definedName>
    <definedName name="VFGDGDS" localSheetId="5">#REF!</definedName>
    <definedName name="VFGDGDS">#REF!</definedName>
    <definedName name="Vutil">[1]bien!$G$17</definedName>
    <definedName name="XX" localSheetId="2">#REF!</definedName>
    <definedName name="XX" localSheetId="3">#REF!</definedName>
    <definedName name="XX" localSheetId="5">#REF!</definedName>
    <definedName name="XX">#REF!</definedName>
    <definedName name="XXX" localSheetId="2">#REF!</definedName>
    <definedName name="XXX" localSheetId="3">#REF!</definedName>
    <definedName name="XXX" localSheetId="5">#REF!</definedName>
    <definedName name="XXX">#REF!</definedName>
  </definedNames>
  <calcPr calcId="144525"/>
</workbook>
</file>

<file path=xl/calcChain.xml><?xml version="1.0" encoding="utf-8"?>
<calcChain xmlns="http://schemas.openxmlformats.org/spreadsheetml/2006/main">
  <c r="F42" i="8" l="1"/>
  <c r="F23" i="8"/>
  <c r="F21" i="8"/>
  <c r="F19" i="8"/>
  <c r="F59" i="8"/>
  <c r="F58" i="8"/>
  <c r="I55" i="8"/>
  <c r="F53" i="8"/>
  <c r="I52" i="8"/>
  <c r="I51" i="8"/>
  <c r="I53" i="8" s="1"/>
  <c r="F43" i="8"/>
  <c r="I41" i="8"/>
  <c r="F39" i="8"/>
  <c r="I38" i="8"/>
  <c r="I39" i="8" s="1"/>
  <c r="H10" i="8"/>
  <c r="H11" i="8" s="1"/>
  <c r="E7" i="8"/>
  <c r="F8" i="8" s="1"/>
  <c r="F76" i="2"/>
  <c r="F52" i="2"/>
  <c r="F51" i="2"/>
  <c r="F62" i="2"/>
  <c r="I62" i="2" s="1"/>
  <c r="F79" i="2"/>
  <c r="F78" i="2"/>
  <c r="I75" i="2"/>
  <c r="F71" i="2"/>
  <c r="F63" i="2"/>
  <c r="I61" i="2"/>
  <c r="F59" i="2"/>
  <c r="I22" i="2"/>
  <c r="H10" i="2"/>
  <c r="H14" i="2" s="1"/>
  <c r="E10" i="2"/>
  <c r="F11" i="2" s="1"/>
  <c r="I11" i="2" s="1"/>
  <c r="D11" i="2"/>
  <c r="D15" i="2" s="1"/>
  <c r="E7" i="2"/>
  <c r="F8" i="2" s="1"/>
  <c r="I64" i="2" l="1"/>
  <c r="E14" i="2"/>
  <c r="I58" i="2"/>
  <c r="I59" i="2" s="1"/>
  <c r="I66" i="2" s="1"/>
  <c r="G77" i="2" s="1"/>
  <c r="I77" i="2" s="1"/>
  <c r="H18" i="2"/>
  <c r="E18" i="2"/>
  <c r="H19" i="2"/>
  <c r="D19" i="2"/>
  <c r="D27" i="2" s="1"/>
  <c r="D31" i="2" s="1"/>
  <c r="F64" i="2"/>
  <c r="F66" i="2" s="1"/>
  <c r="F80" i="2"/>
  <c r="F15" i="2"/>
  <c r="I12" i="2" s="1"/>
  <c r="I76" i="2"/>
  <c r="I71" i="2"/>
  <c r="B8" i="7"/>
  <c r="D8" i="7" s="1"/>
  <c r="C10" i="7"/>
  <c r="D17" i="7"/>
  <c r="H17" i="7" s="1"/>
  <c r="E17" i="7"/>
  <c r="I17" i="7" s="1"/>
  <c r="C13" i="7"/>
  <c r="D13" i="7" s="1"/>
  <c r="B9" i="7"/>
  <c r="E9" i="7" s="1"/>
  <c r="B15" i="7"/>
  <c r="E15" i="7" s="1"/>
  <c r="I15" i="7" s="1"/>
  <c r="C12" i="7"/>
  <c r="D12" i="7" s="1"/>
  <c r="C18" i="7"/>
  <c r="E18" i="7" s="1"/>
  <c r="I18" i="7" s="1"/>
  <c r="C19" i="7"/>
  <c r="B11" i="7"/>
  <c r="B17" i="7"/>
  <c r="C11" i="7"/>
  <c r="B16" i="7"/>
  <c r="E16" i="7" s="1"/>
  <c r="I16" i="7" s="1"/>
  <c r="C14" i="7"/>
  <c r="D14" i="7" s="1"/>
  <c r="B10" i="7"/>
  <c r="E10" i="7" s="1"/>
  <c r="H24" i="7"/>
  <c r="E24" i="7"/>
  <c r="I24" i="7" s="1"/>
  <c r="D24" i="7"/>
  <c r="H23" i="7"/>
  <c r="E23" i="7"/>
  <c r="I23" i="7" s="1"/>
  <c r="D23" i="7"/>
  <c r="E22" i="7"/>
  <c r="I22" i="7" s="1"/>
  <c r="D22" i="7"/>
  <c r="H22" i="7" s="1"/>
  <c r="E21" i="7"/>
  <c r="I21" i="7" s="1"/>
  <c r="D21" i="7"/>
  <c r="H21" i="7" s="1"/>
  <c r="H20" i="7"/>
  <c r="E20" i="7"/>
  <c r="I20" i="7" s="1"/>
  <c r="D20" i="7"/>
  <c r="E19" i="7"/>
  <c r="I19" i="7" s="1"/>
  <c r="D19" i="7"/>
  <c r="H19" i="7" s="1"/>
  <c r="D18" i="7"/>
  <c r="H18" i="7" s="1"/>
  <c r="H24" i="6"/>
  <c r="G24" i="6"/>
  <c r="E14" i="6"/>
  <c r="I14" i="6" s="1"/>
  <c r="H14" i="6"/>
  <c r="E15" i="6"/>
  <c r="H15" i="6"/>
  <c r="I15" i="6"/>
  <c r="D16" i="6"/>
  <c r="E16" i="6"/>
  <c r="I16" i="6" s="1"/>
  <c r="H16" i="6"/>
  <c r="D17" i="6"/>
  <c r="E17" i="6"/>
  <c r="I17" i="6" s="1"/>
  <c r="H17" i="6"/>
  <c r="D18" i="6"/>
  <c r="E18" i="6"/>
  <c r="I18" i="6" s="1"/>
  <c r="H18" i="6"/>
  <c r="D19" i="6"/>
  <c r="E19" i="6"/>
  <c r="I19" i="6" s="1"/>
  <c r="H19" i="6"/>
  <c r="D20" i="6"/>
  <c r="E20" i="6"/>
  <c r="I20" i="6" s="1"/>
  <c r="H20" i="6"/>
  <c r="D21" i="6"/>
  <c r="E21" i="6"/>
  <c r="I21" i="6" s="1"/>
  <c r="H21" i="6"/>
  <c r="C13" i="6"/>
  <c r="D13" i="6" s="1"/>
  <c r="C11" i="6"/>
  <c r="D11" i="6" s="1"/>
  <c r="B15" i="6"/>
  <c r="B9" i="6"/>
  <c r="B14" i="6"/>
  <c r="D14" i="6" s="1"/>
  <c r="D9" i="6"/>
  <c r="F9" i="6" s="1"/>
  <c r="E9" i="6"/>
  <c r="E10" i="6"/>
  <c r="C16" i="6"/>
  <c r="C12" i="6"/>
  <c r="D12" i="6" s="1"/>
  <c r="B10" i="6"/>
  <c r="D10" i="6" s="1"/>
  <c r="F10" i="6" s="1"/>
  <c r="B8" i="6"/>
  <c r="I11" i="8" l="1"/>
  <c r="I80" i="2"/>
  <c r="H20" i="2"/>
  <c r="H22" i="2" s="1"/>
  <c r="H23" i="2" s="1"/>
  <c r="F40" i="2" s="1"/>
  <c r="F43" i="2" s="1"/>
  <c r="E26" i="2"/>
  <c r="F19" i="2"/>
  <c r="I13" i="2" s="1"/>
  <c r="I14" i="2" s="1"/>
  <c r="D35" i="2"/>
  <c r="E11" i="7"/>
  <c r="D9" i="7"/>
  <c r="F9" i="7" s="1"/>
  <c r="E14" i="7"/>
  <c r="G14" i="7" s="1"/>
  <c r="E13" i="7"/>
  <c r="F13" i="7" s="1"/>
  <c r="B25" i="7"/>
  <c r="B27" i="7" s="1"/>
  <c r="E8" i="7"/>
  <c r="G8" i="7" s="1"/>
  <c r="C25" i="7"/>
  <c r="C27" i="7" s="1"/>
  <c r="E12" i="7"/>
  <c r="F12" i="7" s="1"/>
  <c r="I25" i="7"/>
  <c r="D10" i="7"/>
  <c r="F10" i="7" s="1"/>
  <c r="D15" i="7"/>
  <c r="H15" i="7" s="1"/>
  <c r="D11" i="7"/>
  <c r="F11" i="7" s="1"/>
  <c r="D16" i="7"/>
  <c r="H16" i="7" s="1"/>
  <c r="E11" i="6"/>
  <c r="G11" i="6" s="1"/>
  <c r="G10" i="6"/>
  <c r="E13" i="6"/>
  <c r="F13" i="6" s="1"/>
  <c r="E12" i="6"/>
  <c r="G12" i="6" s="1"/>
  <c r="D15" i="6"/>
  <c r="G9" i="6"/>
  <c r="E22" i="6"/>
  <c r="I22" i="6" s="1"/>
  <c r="I23" i="6" s="1"/>
  <c r="D22" i="6"/>
  <c r="H22" i="6" s="1"/>
  <c r="H23" i="6" s="1"/>
  <c r="D8" i="6"/>
  <c r="F31" i="8" l="1"/>
  <c r="H15" i="2"/>
  <c r="F73" i="2"/>
  <c r="F82" i="2" s="1"/>
  <c r="E30" i="2"/>
  <c r="F27" i="2"/>
  <c r="F8" i="7"/>
  <c r="G9" i="7"/>
  <c r="F14" i="7"/>
  <c r="G13" i="7"/>
  <c r="E25" i="7"/>
  <c r="E27" i="7" s="1"/>
  <c r="C28" i="7"/>
  <c r="G12" i="7"/>
  <c r="G10" i="7"/>
  <c r="G11" i="7"/>
  <c r="H25" i="7"/>
  <c r="H26" i="7" s="1"/>
  <c r="H27" i="7" s="1"/>
  <c r="I27" i="7"/>
  <c r="D25" i="7"/>
  <c r="D27" i="7" s="1"/>
  <c r="F11" i="6"/>
  <c r="G13" i="6"/>
  <c r="F12" i="6"/>
  <c r="H25" i="6"/>
  <c r="I25" i="6"/>
  <c r="E8" i="6"/>
  <c r="C23" i="6"/>
  <c r="C25" i="6" s="1"/>
  <c r="B23" i="6"/>
  <c r="B25" i="6" s="1"/>
  <c r="F32" i="8" l="1"/>
  <c r="I42" i="8"/>
  <c r="I44" i="8" s="1"/>
  <c r="I46" i="8" s="1"/>
  <c r="G57" i="8" s="1"/>
  <c r="I57" i="8" s="1"/>
  <c r="F44" i="8"/>
  <c r="F46" i="8" s="1"/>
  <c r="I72" i="2"/>
  <c r="I73" i="2" s="1"/>
  <c r="I82" i="2" s="1"/>
  <c r="F31" i="2"/>
  <c r="F48" i="2" s="1"/>
  <c r="E34" i="2"/>
  <c r="F35" i="2" s="1"/>
  <c r="F25" i="7"/>
  <c r="F27" i="7" s="1"/>
  <c r="G25" i="7"/>
  <c r="G26" i="7" s="1"/>
  <c r="G27" i="7" s="1"/>
  <c r="G8" i="6"/>
  <c r="E23" i="6"/>
  <c r="E25" i="6" s="1"/>
  <c r="F8" i="6"/>
  <c r="D23" i="6"/>
  <c r="D25" i="6" s="1"/>
  <c r="C26" i="6"/>
  <c r="I56" i="8" l="1"/>
  <c r="I60" i="8" s="1"/>
  <c r="I62" i="8" s="1"/>
  <c r="F60" i="8"/>
  <c r="F62" i="8" s="1"/>
  <c r="F23" i="6"/>
  <c r="G23" i="6"/>
  <c r="F25" i="6" l="1"/>
  <c r="G25" i="6"/>
  <c r="E63" i="5" l="1"/>
  <c r="E62" i="5"/>
  <c r="E87" i="5"/>
  <c r="H87" i="5" s="1"/>
  <c r="H86" i="5"/>
  <c r="E82" i="5"/>
  <c r="E73" i="5"/>
  <c r="H73" i="5" s="1"/>
  <c r="H72" i="5"/>
  <c r="H75" i="5" s="1"/>
  <c r="F72" i="5"/>
  <c r="H69" i="5"/>
  <c r="H70" i="5" s="1"/>
  <c r="E69" i="5"/>
  <c r="E70" i="5" s="1"/>
  <c r="C60" i="5"/>
  <c r="C57" i="5"/>
  <c r="F40" i="5"/>
  <c r="H41" i="5" s="1"/>
  <c r="H37" i="5"/>
  <c r="F35" i="5" s="1"/>
  <c r="H32" i="5"/>
  <c r="E83" i="5" s="1"/>
  <c r="H83" i="5" s="1"/>
  <c r="H29" i="5"/>
  <c r="D24" i="5"/>
  <c r="F15" i="5"/>
  <c r="H16" i="5" s="1"/>
  <c r="H12" i="5"/>
  <c r="M10" i="5"/>
  <c r="F10" i="5"/>
  <c r="F7" i="5"/>
  <c r="H8" i="5" s="1"/>
  <c r="M4" i="5"/>
  <c r="E49" i="5" s="1"/>
  <c r="K4" i="5"/>
  <c r="F19" i="5" s="1"/>
  <c r="M3" i="5"/>
  <c r="M6" i="5" s="1"/>
  <c r="M7" i="5" s="1"/>
  <c r="K3" i="5"/>
  <c r="M13" i="5" s="1"/>
  <c r="E86" i="4"/>
  <c r="H86" i="4" s="1"/>
  <c r="H85" i="4"/>
  <c r="H81" i="4"/>
  <c r="E81" i="4"/>
  <c r="E72" i="4"/>
  <c r="F71" i="4"/>
  <c r="H71" i="4" s="1"/>
  <c r="E69" i="4"/>
  <c r="E68" i="4"/>
  <c r="H68" i="4" s="1"/>
  <c r="H69" i="4" s="1"/>
  <c r="C60" i="4"/>
  <c r="C57" i="4"/>
  <c r="F40" i="4"/>
  <c r="H41" i="4" s="1"/>
  <c r="H37" i="4"/>
  <c r="F35" i="4" s="1"/>
  <c r="H32" i="4"/>
  <c r="E60" i="4" s="1"/>
  <c r="H29" i="4"/>
  <c r="D24" i="4"/>
  <c r="F15" i="4"/>
  <c r="H16" i="4" s="1"/>
  <c r="H12" i="4"/>
  <c r="M10" i="4"/>
  <c r="F10" i="4"/>
  <c r="F7" i="4"/>
  <c r="H8" i="4" s="1"/>
  <c r="K4" i="4"/>
  <c r="F19" i="4" s="1"/>
  <c r="K3" i="4"/>
  <c r="M13" i="4" s="1"/>
  <c r="E59" i="5" l="1"/>
  <c r="M14" i="5"/>
  <c r="M15" i="5" s="1"/>
  <c r="M16" i="5" s="1"/>
  <c r="E61" i="5" s="1"/>
  <c r="H77" i="5"/>
  <c r="F88" i="5" s="1"/>
  <c r="H88" i="5" s="1"/>
  <c r="H91" i="5" s="1"/>
  <c r="E84" i="5"/>
  <c r="E74" i="5"/>
  <c r="E75" i="5" s="1"/>
  <c r="E77" i="5" s="1"/>
  <c r="E47" i="5"/>
  <c r="E45" i="5"/>
  <c r="E50" i="5" s="1"/>
  <c r="H20" i="5"/>
  <c r="K6" i="5"/>
  <c r="K7" i="5" s="1"/>
  <c r="F23" i="5" s="1"/>
  <c r="E60" i="5"/>
  <c r="H33" i="5"/>
  <c r="H82" i="5"/>
  <c r="H84" i="5" s="1"/>
  <c r="E73" i="4"/>
  <c r="E74" i="4" s="1"/>
  <c r="E76" i="4" s="1"/>
  <c r="E45" i="4"/>
  <c r="H20" i="4"/>
  <c r="K6" i="4"/>
  <c r="K7" i="4" s="1"/>
  <c r="F23" i="4" s="1"/>
  <c r="E47" i="4"/>
  <c r="H33" i="4"/>
  <c r="M3" i="4"/>
  <c r="H72" i="4"/>
  <c r="H74" i="4" s="1"/>
  <c r="H76" i="4" s="1"/>
  <c r="F87" i="4" s="1"/>
  <c r="H87" i="4" s="1"/>
  <c r="H90" i="4" s="1"/>
  <c r="E82" i="4"/>
  <c r="H82" i="4" s="1"/>
  <c r="H83" i="4" s="1"/>
  <c r="H93" i="5" l="1"/>
  <c r="E56" i="5"/>
  <c r="E90" i="5"/>
  <c r="H24" i="5"/>
  <c r="F28" i="5" s="1"/>
  <c r="F27" i="5" s="1"/>
  <c r="H92" i="4"/>
  <c r="M4" i="4"/>
  <c r="E89" i="4"/>
  <c r="H24" i="4"/>
  <c r="F28" i="4" s="1"/>
  <c r="F27" i="4" s="1"/>
  <c r="E56" i="4"/>
  <c r="E83" i="4"/>
  <c r="E89" i="5" l="1"/>
  <c r="E91" i="5" s="1"/>
  <c r="E93" i="5" s="1"/>
  <c r="E57" i="5"/>
  <c r="E54" i="5"/>
  <c r="E49" i="4"/>
  <c r="E50" i="4" s="1"/>
  <c r="M6" i="4"/>
  <c r="M7" i="4" s="1"/>
  <c r="E59" i="4" s="1"/>
  <c r="E88" i="4"/>
  <c r="E90" i="4" s="1"/>
  <c r="E92" i="4" s="1"/>
  <c r="E57" i="4"/>
  <c r="E54" i="4"/>
  <c r="M14" i="4" l="1"/>
  <c r="M15" i="4" s="1"/>
  <c r="M16" i="4" s="1"/>
  <c r="E61" i="4" s="1"/>
  <c r="E62" i="4" s="1"/>
</calcChain>
</file>

<file path=xl/sharedStrings.xml><?xml version="1.0" encoding="utf-8"?>
<sst xmlns="http://schemas.openxmlformats.org/spreadsheetml/2006/main" count="341" uniqueCount="114">
  <si>
    <t>propiedades planta y equipo</t>
  </si>
  <si>
    <t>iva crédito fiscal</t>
  </si>
  <si>
    <t>Proveedores</t>
  </si>
  <si>
    <t>depreciación del ejercicio</t>
  </si>
  <si>
    <t>depreciación acumulada</t>
  </si>
  <si>
    <t>1.- en el año 1 de realización mes de febrero</t>
  </si>
  <si>
    <t>3.- en el año 2, en agosto lo vende en $ 18.000.000</t>
  </si>
  <si>
    <t>a la fecha de venta</t>
  </si>
  <si>
    <t>costo de venta activo inmovilizado</t>
  </si>
  <si>
    <t>activo inmovilizado</t>
  </si>
  <si>
    <t>caja</t>
  </si>
  <si>
    <t>venta activo inmovilizado</t>
  </si>
  <si>
    <t>iva débito fiscal</t>
  </si>
  <si>
    <t>venta de activo inmovilizado financiero</t>
  </si>
  <si>
    <t>resultado tributario año 1 régimen 14 A</t>
  </si>
  <si>
    <t xml:space="preserve">caja </t>
  </si>
  <si>
    <t>servicios</t>
  </si>
  <si>
    <t>iva df</t>
  </si>
  <si>
    <t>gastos</t>
  </si>
  <si>
    <t>proveedores</t>
  </si>
  <si>
    <t>resultado financiero</t>
  </si>
  <si>
    <t>agregados</t>
  </si>
  <si>
    <t>depreciación financiera</t>
  </si>
  <si>
    <t>deducciones</t>
  </si>
  <si>
    <t>depreciación tributaria</t>
  </si>
  <si>
    <t>2.- al cierre del año 1 lo deprecia y de acuerdo a sus característas técnicas se deprecia en 10 años y tributariamente se deprecia en 8 años</t>
  </si>
  <si>
    <t>año 1 fina</t>
  </si>
  <si>
    <t>año 2 fin</t>
  </si>
  <si>
    <t>año 1 trib</t>
  </si>
  <si>
    <t>5% ipc de febrero a diciembre</t>
  </si>
  <si>
    <t>10% ipc de enero a agosto</t>
  </si>
  <si>
    <t>rli</t>
  </si>
  <si>
    <t>resultado tributario año 2 régimen 14 A</t>
  </si>
  <si>
    <t>determinacion mayor y menor valor venta activo inmovilizado</t>
  </si>
  <si>
    <t>precio venta</t>
  </si>
  <si>
    <t>costo tributario</t>
  </si>
  <si>
    <t>detalle</t>
  </si>
  <si>
    <t xml:space="preserve">valor adquisicion </t>
  </si>
  <si>
    <t>dep acumulada</t>
  </si>
  <si>
    <t>menor valor</t>
  </si>
  <si>
    <t>menor valor venta activo inmov</t>
  </si>
  <si>
    <t>total de ingresos</t>
  </si>
  <si>
    <t xml:space="preserve">gastos </t>
  </si>
  <si>
    <t>depreciacion</t>
  </si>
  <si>
    <t>INGRESOS</t>
  </si>
  <si>
    <t>Ventas</t>
  </si>
  <si>
    <t>EGRESOS</t>
  </si>
  <si>
    <t>compra activo inmovilizado</t>
  </si>
  <si>
    <t>estado resultado</t>
  </si>
  <si>
    <t>base imponible</t>
  </si>
  <si>
    <t>ajustes</t>
  </si>
  <si>
    <t>Resultado Financiero</t>
  </si>
  <si>
    <t>RLI</t>
  </si>
  <si>
    <t>Total egresos</t>
  </si>
  <si>
    <t>PTE</t>
  </si>
  <si>
    <t>determinacion base imponible 14 D N° 3 año 1</t>
  </si>
  <si>
    <t>determinacion base imponible 14 D N° 3 año 2</t>
  </si>
  <si>
    <t>Venta de activo inmovilizado</t>
  </si>
  <si>
    <t>pérdida ejercicios anteriores</t>
  </si>
  <si>
    <t>costo venta activo inmovilizado</t>
  </si>
  <si>
    <t>Pérdida tributaria del ejercicio</t>
  </si>
  <si>
    <t>ajustes extra contable</t>
  </si>
  <si>
    <t>perdida tributaria</t>
  </si>
  <si>
    <t xml:space="preserve">pérdida ejercicio anteriores </t>
  </si>
  <si>
    <t>ipc año 13%</t>
  </si>
  <si>
    <t>identidad</t>
  </si>
  <si>
    <t>debe</t>
  </si>
  <si>
    <t>haber</t>
  </si>
  <si>
    <t>sdeudor</t>
  </si>
  <si>
    <t>sacreedor</t>
  </si>
  <si>
    <t>activo</t>
  </si>
  <si>
    <t>pasivo</t>
  </si>
  <si>
    <t>perdida</t>
  </si>
  <si>
    <t>ganancia</t>
  </si>
  <si>
    <t>PROVEEDORES</t>
  </si>
  <si>
    <t>SUBTOTALES</t>
  </si>
  <si>
    <t>RESULTADO EJERCICIO "PERDIDA"</t>
  </si>
  <si>
    <t>TOTALES</t>
  </si>
  <si>
    <t>BALANCE AÑO 1</t>
  </si>
  <si>
    <t>CAJA</t>
  </si>
  <si>
    <t>IVA C FISCAL</t>
  </si>
  <si>
    <t>PROPIEDADES PLANTA Y EQUIPO</t>
  </si>
  <si>
    <t>GASTOS</t>
  </si>
  <si>
    <t>DEPRECIACIÓN EJERCICIO</t>
  </si>
  <si>
    <t>VENTAS Y SERVICIOS</t>
  </si>
  <si>
    <t>IVA D FISCAL</t>
  </si>
  <si>
    <t>DEPRECIACION ACUMULADA</t>
  </si>
  <si>
    <t>UTILIDAD/PERDIDA EJERCICIO</t>
  </si>
  <si>
    <t>COSTO VENTA ACTIVO INMOVILIZADO</t>
  </si>
  <si>
    <t>VENTA ACTIVO INMOVILIZADO</t>
  </si>
  <si>
    <t xml:space="preserve">Caso 1 </t>
  </si>
  <si>
    <t>Seguro anticipado</t>
  </si>
  <si>
    <t>IVA Crédito Fiscal</t>
  </si>
  <si>
    <t>Caja</t>
  </si>
  <si>
    <t>Se contabiliza en cuenta de activo el seguro contratado en octubre a 6 meses, con todo el seguro afecto a iva según LIVS</t>
  </si>
  <si>
    <t>gasto por seguro</t>
  </si>
  <si>
    <t xml:space="preserve">primera cuota octubre </t>
  </si>
  <si>
    <t>segunda cuota noviembre</t>
  </si>
  <si>
    <t>tercera cuota diciembre</t>
  </si>
  <si>
    <t>seguro anticipado</t>
  </si>
  <si>
    <t>gasto seguro</t>
  </si>
  <si>
    <t>pérdida  tributaria</t>
  </si>
  <si>
    <t>año 1</t>
  </si>
  <si>
    <t>año 2</t>
  </si>
  <si>
    <t>cuarta cuota enero</t>
  </si>
  <si>
    <t>quinta cuota febrero</t>
  </si>
  <si>
    <t>sexta cuota marzo</t>
  </si>
  <si>
    <t>pérdida tributaria año anterior</t>
  </si>
  <si>
    <t>ipc 13%</t>
  </si>
  <si>
    <t>Se contabiliza en cuenta de resultado  el seguro contratado en octubre a 6 meses, con todo el seguro afecto a iva según LIVS</t>
  </si>
  <si>
    <t>no hay contabilizaciones</t>
  </si>
  <si>
    <t>gastos anticipados reajustados</t>
  </si>
  <si>
    <t>ipc 3%</t>
  </si>
  <si>
    <t>artículo 21 inciso 2°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</si>
</sst>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44" formatCode="_ &quot;$&quot;* #,##0.00_ ;_ &quot;$&quot;* \-#,##0.00_ ;_ &quot;$&quot;* &quot;-&quot;??_ ;_ @_ "/>
    <numFmt numFmtId="164" formatCode="&quot;$&quot;#,##0"/>
    <numFmt numFmtId="165" formatCode="_-&quot;$&quot;\ * #,##0_-;\-&quot;$&quot;\ * #,##0_-;_-&quot;$&quot;\ * &quot;-&quot;??_-;_-@_-"/>
    <numFmt numFmtId="166" formatCode="_-&quot;$&quot;\ * #,##0.00_-;\-&quot;$&quot;\ * #,##0.00_-;_-&quot;$&quot;\ * &quot;-&quot;??_-;_-@_-"/>
    <numFmt numFmtId="167" formatCode="_-* #,##0.00\ _€_-;\-* #,##0.00\ _€_-;_-* &quot;-&quot;??\ _€_-;_-@_-"/>
    <numFmt numFmtId="168" formatCode="_-* #,##0.00_-;\-* #,##0.00_-;_-* &quot;-&quot;??_-;_-@_-"/>
    <numFmt numFmtId="169" formatCode="_(* #,##0.00_);_(* \(#,##0.00\);_(* &quot;-&quot;??_);_(@_)"/>
    <numFmt numFmtId="170" formatCode="_-* #,##0.00\ _$_-;\-* #,##0.00\ _$_-;_-* &quot;-&quot;??\ _$_-;_-@_-"/>
    <numFmt numFmtId="171" formatCode="_(* #,##0_);_(* \(#,##0\);_(* &quot;-&quot;??_);_(@_)"/>
    <numFmt numFmtId="172" formatCode="_-&quot;$&quot;* #,##0.00_-;\-&quot;$&quot;* #,##0.00_-;_-&quot;$&quot;* &quot;-&quot;??_-;_-@_-"/>
    <numFmt numFmtId="173" formatCode="_-* #,##0.00\ &quot;€&quot;_-;\-* #,##0.00\ &quot;€&quot;_-;_-* &quot;-&quot;??\ &quot;€&quot;_-;_-@_-"/>
    <numFmt numFmtId="174" formatCode="_-* #,##0_-;\-* #,##0_-;_-* &quot;-&quot;??_-;_-@_-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"/>
      <color theme="10"/>
      <name val="Calibri"/>
      <family val="2"/>
      <scheme val="minor"/>
    </font>
    <font>
      <u/>
      <sz val="11.65"/>
      <color theme="10"/>
      <name val="Calibri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60"/>
      <name val="Calibri"/>
      <family val="2"/>
    </font>
    <font>
      <sz val="10"/>
      <name val="Arial"/>
      <family val="2"/>
      <charset val="1"/>
    </font>
    <font>
      <sz val="10"/>
      <name val="Times New Roman"/>
      <family val="1"/>
      <charset val="134"/>
    </font>
    <font>
      <sz val="10"/>
      <color indexed="8"/>
      <name val="MS Sans Serif"/>
      <family val="2"/>
    </font>
    <font>
      <sz val="10"/>
      <color rgb="FF000000"/>
      <name val="Times New Roman"/>
      <family val="1"/>
    </font>
    <font>
      <sz val="10"/>
      <name val="Verdan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47">
    <xf numFmtId="0" fontId="0" fillId="0" borderId="0"/>
    <xf numFmtId="44" fontId="1" fillId="0" borderId="0" applyFont="0" applyFill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20" borderId="3" applyNumberFormat="0" applyAlignment="0" applyProtection="0"/>
    <xf numFmtId="0" fontId="9" fillId="20" borderId="3" applyNumberFormat="0" applyAlignment="0" applyProtection="0"/>
    <xf numFmtId="0" fontId="10" fillId="21" borderId="4" applyNumberFormat="0" applyAlignment="0" applyProtection="0"/>
    <xf numFmtId="0" fontId="11" fillId="21" borderId="4" applyNumberFormat="0" applyAlignment="0" applyProtection="0"/>
    <xf numFmtId="0" fontId="12" fillId="0" borderId="5" applyNumberFormat="0" applyFill="0" applyAlignment="0" applyProtection="0"/>
    <xf numFmtId="0" fontId="13" fillId="8" borderId="0" applyNumberFormat="0" applyBorder="0" applyAlignment="0" applyProtection="0"/>
    <xf numFmtId="166" fontId="4" fillId="0" borderId="0" applyFon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5" borderId="0" applyNumberFormat="0" applyBorder="0" applyAlignment="0" applyProtection="0"/>
    <xf numFmtId="0" fontId="18" fillId="11" borderId="3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7" borderId="0" applyNumberFormat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5" fillId="0" borderId="0" applyFont="0" applyFill="0" applyBorder="0" applyAlignment="0" applyProtection="0">
      <alignment vertical="center"/>
    </xf>
    <xf numFmtId="169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4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26" borderId="0" applyNumberFormat="0" applyBorder="0" applyAlignment="0" applyProtection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5" fillId="0" borderId="0"/>
    <xf numFmtId="0" fontId="28" fillId="0" borderId="0">
      <alignment vertical="center"/>
    </xf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30" fillId="0" borderId="0"/>
    <xf numFmtId="0" fontId="29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7" borderId="9" applyNumberFormat="0" applyFont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2" fillId="20" borderId="10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7" applyNumberFormat="0" applyFill="0" applyAlignment="0" applyProtection="0"/>
    <xf numFmtId="0" fontId="17" fillId="0" borderId="8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1" applyNumberFormat="0" applyFill="0" applyAlignment="0" applyProtection="0"/>
  </cellStyleXfs>
  <cellXfs count="22">
    <xf numFmtId="0" fontId="0" fillId="0" borderId="0" xfId="0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0" fillId="3" borderId="0" xfId="0" applyFill="1"/>
    <xf numFmtId="164" fontId="0" fillId="3" borderId="0" xfId="0" applyNumberFormat="1" applyFill="1"/>
    <xf numFmtId="0" fontId="0" fillId="4" borderId="0" xfId="0" applyFill="1"/>
    <xf numFmtId="0" fontId="2" fillId="5" borderId="0" xfId="0" applyFont="1" applyFill="1"/>
    <xf numFmtId="164" fontId="2" fillId="5" borderId="0" xfId="0" applyNumberFormat="1" applyFont="1" applyFill="1"/>
    <xf numFmtId="0" fontId="3" fillId="0" borderId="0" xfId="0" applyFont="1"/>
    <xf numFmtId="0" fontId="2" fillId="0" borderId="0" xfId="0" applyFont="1"/>
    <xf numFmtId="0" fontId="2" fillId="0" borderId="1" xfId="0" applyFont="1" applyBorder="1"/>
    <xf numFmtId="165" fontId="1" fillId="0" borderId="1" xfId="1" applyNumberFormat="1" applyFont="1" applyFill="1" applyBorder="1"/>
    <xf numFmtId="3" fontId="0" fillId="0" borderId="1" xfId="0" applyNumberFormat="1" applyBorder="1"/>
    <xf numFmtId="165" fontId="2" fillId="0" borderId="2" xfId="1" applyNumberFormat="1" applyFont="1" applyBorder="1"/>
    <xf numFmtId="165" fontId="2" fillId="0" borderId="1" xfId="1" applyNumberFormat="1" applyFont="1" applyBorder="1"/>
    <xf numFmtId="165" fontId="0" fillId="0" borderId="0" xfId="0" applyNumberFormat="1"/>
    <xf numFmtId="0" fontId="0" fillId="0" borderId="12" xfId="0" applyBorder="1"/>
    <xf numFmtId="0" fontId="0" fillId="0" borderId="14" xfId="0" applyBorder="1"/>
    <xf numFmtId="165" fontId="0" fillId="0" borderId="13" xfId="0" applyNumberFormat="1" applyBorder="1"/>
    <xf numFmtId="165" fontId="0" fillId="0" borderId="14" xfId="0" applyNumberFormat="1" applyBorder="1"/>
    <xf numFmtId="164" fontId="38" fillId="0" borderId="0" xfId="0" applyNumberFormat="1" applyFont="1"/>
  </cellXfs>
  <cellStyles count="147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akcent 1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Advertencia" xfId="21"/>
    <cellStyle name="Calcular" xfId="22"/>
    <cellStyle name="Cálculo 2" xfId="23"/>
    <cellStyle name="Celda comprob." xfId="24"/>
    <cellStyle name="Celda de comprobación 2" xfId="25"/>
    <cellStyle name="Celda vinculada 2" xfId="26"/>
    <cellStyle name="Correcto" xfId="27"/>
    <cellStyle name="Currency 2" xfId="28"/>
    <cellStyle name="Encabez. 1" xfId="29"/>
    <cellStyle name="Encabez. 2" xfId="30"/>
    <cellStyle name="Encabezado 3" xfId="31"/>
    <cellStyle name="Encabezado 4 2" xfId="32"/>
    <cellStyle name="Énfasis1 2" xfId="33"/>
    <cellStyle name="Énfasis2 2" xfId="34"/>
    <cellStyle name="Énfasis3 2" xfId="35"/>
    <cellStyle name="Énfasis4 2" xfId="36"/>
    <cellStyle name="Énfasis5 2" xfId="37"/>
    <cellStyle name="Énfasis6 2" xfId="38"/>
    <cellStyle name="Entrada 2" xfId="39"/>
    <cellStyle name="Explicación" xfId="40"/>
    <cellStyle name="Hipervínculo 2" xfId="41"/>
    <cellStyle name="Hipervínculo 3" xfId="42"/>
    <cellStyle name="Hipervínculo 4" xfId="43"/>
    <cellStyle name="Incorrecto 2" xfId="44"/>
    <cellStyle name="Millares [0] 2" xfId="45"/>
    <cellStyle name="Millares [0] 3" xfId="46"/>
    <cellStyle name="Millares 10" xfId="47"/>
    <cellStyle name="Millares 2" xfId="48"/>
    <cellStyle name="Millares 2 2" xfId="49"/>
    <cellStyle name="Millares 2 2 2" xfId="50"/>
    <cellStyle name="Millares 2 3" xfId="51"/>
    <cellStyle name="Millares 2 3 2" xfId="52"/>
    <cellStyle name="Millares 2 4" xfId="53"/>
    <cellStyle name="Millares 2 4 2" xfId="54"/>
    <cellStyle name="Millares 2 5" xfId="55"/>
    <cellStyle name="Millares 3" xfId="56"/>
    <cellStyle name="Millares 3 2" xfId="57"/>
    <cellStyle name="Millares 3 3" xfId="58"/>
    <cellStyle name="Millares 4" xfId="59"/>
    <cellStyle name="Millares 4 2" xfId="60"/>
    <cellStyle name="Millares 5" xfId="61"/>
    <cellStyle name="Millares 5 2" xfId="62"/>
    <cellStyle name="Millares 6" xfId="63"/>
    <cellStyle name="Millares 7" xfId="64"/>
    <cellStyle name="Millares 8" xfId="65"/>
    <cellStyle name="Millares 9" xfId="66"/>
    <cellStyle name="Moneda 2" xfId="67"/>
    <cellStyle name="Moneda 2 2" xfId="68"/>
    <cellStyle name="Moneda 2 3" xfId="69"/>
    <cellStyle name="Moneda 2 3 2" xfId="1"/>
    <cellStyle name="Moneda 3" xfId="70"/>
    <cellStyle name="Moneda 3 2" xfId="71"/>
    <cellStyle name="Moneda 4" xfId="72"/>
    <cellStyle name="Moneda 5" xfId="73"/>
    <cellStyle name="Moneda 6" xfId="74"/>
    <cellStyle name="Neutral 2" xfId="75"/>
    <cellStyle name="Normal" xfId="0" builtinId="0"/>
    <cellStyle name="Normal 10" xfId="76"/>
    <cellStyle name="Normal 11" xfId="77"/>
    <cellStyle name="Normal 12" xfId="78"/>
    <cellStyle name="Normal 13" xfId="79"/>
    <cellStyle name="Normal 14" xfId="80"/>
    <cellStyle name="Normal 15" xfId="81"/>
    <cellStyle name="Normal 16" xfId="82"/>
    <cellStyle name="Normal 17" xfId="83"/>
    <cellStyle name="Normal 17 2" xfId="84"/>
    <cellStyle name="Normal 2" xfId="85"/>
    <cellStyle name="Normal 2 2" xfId="86"/>
    <cellStyle name="Normal 2 2 2" xfId="87"/>
    <cellStyle name="Normal 2 2 2 2" xfId="88"/>
    <cellStyle name="Normal 2 2 2 3" xfId="89"/>
    <cellStyle name="Normal 2 2 3" xfId="90"/>
    <cellStyle name="Normal 2 2 4" xfId="91"/>
    <cellStyle name="Normal 2 2 4 2" xfId="92"/>
    <cellStyle name="Normal 2 3" xfId="93"/>
    <cellStyle name="Normal 2 3 2" xfId="94"/>
    <cellStyle name="Normal 2 3 2 2" xfId="95"/>
    <cellStyle name="Normal 2 3 3" xfId="96"/>
    <cellStyle name="Normal 2 4" xfId="97"/>
    <cellStyle name="Normal 2 4 2" xfId="98"/>
    <cellStyle name="Normal 2 5" xfId="99"/>
    <cellStyle name="Normal 2 6" xfId="100"/>
    <cellStyle name="Normal 2 7" xfId="101"/>
    <cellStyle name="Normal 2 7 2" xfId="102"/>
    <cellStyle name="Normal 2 8" xfId="103"/>
    <cellStyle name="Normal 3" xfId="104"/>
    <cellStyle name="Normal 3 2" xfId="105"/>
    <cellStyle name="Normal 3 2 2" xfId="106"/>
    <cellStyle name="Normal 3 3" xfId="107"/>
    <cellStyle name="Normal 3 3 2" xfId="108"/>
    <cellStyle name="Normal 3 3 2 2" xfId="109"/>
    <cellStyle name="Normal 3 4" xfId="110"/>
    <cellStyle name="Normal 3 5" xfId="111"/>
    <cellStyle name="Normal 4" xfId="112"/>
    <cellStyle name="Normal 4 2" xfId="113"/>
    <cellStyle name="Normal 4 2 2" xfId="114"/>
    <cellStyle name="Normal 4 3" xfId="115"/>
    <cellStyle name="Normal 5" xfId="116"/>
    <cellStyle name="Normal 5 2" xfId="117"/>
    <cellStyle name="Normal 5 3" xfId="118"/>
    <cellStyle name="Normal 6" xfId="119"/>
    <cellStyle name="Normal 6 2" xfId="120"/>
    <cellStyle name="Normal 6 2 2" xfId="121"/>
    <cellStyle name="Normal 7" xfId="122"/>
    <cellStyle name="Normal 8" xfId="123"/>
    <cellStyle name="Normal 9" xfId="124"/>
    <cellStyle name="Normal 9 2" xfId="125"/>
    <cellStyle name="Nota" xfId="126"/>
    <cellStyle name="Nota 2" xfId="127"/>
    <cellStyle name="Notas 2" xfId="128"/>
    <cellStyle name="Porcentaje 2" xfId="129"/>
    <cellStyle name="Porcentaje 2 2" xfId="130"/>
    <cellStyle name="Porcentaje 2 3" xfId="131"/>
    <cellStyle name="Porcentaje 3" xfId="132"/>
    <cellStyle name="Porcentaje 3 2" xfId="133"/>
    <cellStyle name="Porcentaje 4" xfId="134"/>
    <cellStyle name="Porcentual 2" xfId="135"/>
    <cellStyle name="Porcentual 2 2" xfId="136"/>
    <cellStyle name="Porcentual 2 2 2" xfId="137"/>
    <cellStyle name="Porcentual 2 3" xfId="138"/>
    <cellStyle name="Porcentual 2 3 2" xfId="139"/>
    <cellStyle name="Salida 2" xfId="140"/>
    <cellStyle name="Texto de advertencia 2" xfId="141"/>
    <cellStyle name="Texto explicativo 2" xfId="142"/>
    <cellStyle name="Título 2 2" xfId="143"/>
    <cellStyle name="Título 3 2" xfId="144"/>
    <cellStyle name="Título 4" xfId="145"/>
    <cellStyle name="Total 2" xfId="1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3:N92"/>
  <sheetViews>
    <sheetView topLeftCell="A33" zoomScale="190" zoomScaleNormal="190" workbookViewId="0">
      <selection activeCell="B43" sqref="B43:H92"/>
    </sheetView>
  </sheetViews>
  <sheetFormatPr baseColWidth="10" defaultRowHeight="15"/>
  <cols>
    <col min="4" max="4" width="18.28515625" customWidth="1"/>
    <col min="5" max="5" width="16.28515625" customWidth="1"/>
    <col min="6" max="6" width="14" bestFit="1" customWidth="1"/>
    <col min="7" max="7" width="6.42578125" customWidth="1"/>
    <col min="8" max="8" width="12.140625" bestFit="1" customWidth="1"/>
    <col min="13" max="13" width="12.42578125" bestFit="1" customWidth="1"/>
  </cols>
  <sheetData>
    <row r="3" spans="2:14">
      <c r="B3" t="s">
        <v>13</v>
      </c>
      <c r="J3" t="s">
        <v>26</v>
      </c>
      <c r="K3" s="1">
        <f>+F6</f>
        <v>20000000</v>
      </c>
      <c r="L3" t="s">
        <v>28</v>
      </c>
      <c r="M3" s="1">
        <f>+K3*1.05</f>
        <v>21000000</v>
      </c>
      <c r="N3" t="s">
        <v>29</v>
      </c>
    </row>
    <row r="4" spans="2:14">
      <c r="K4" s="1">
        <f>+(K3/120)*11</f>
        <v>1833333.3333333333</v>
      </c>
      <c r="M4" s="1">
        <f>+(M3/96)*11</f>
        <v>2406250</v>
      </c>
    </row>
    <row r="5" spans="2:14">
      <c r="B5" s="4" t="s">
        <v>5</v>
      </c>
      <c r="C5" s="4"/>
      <c r="D5" s="4"/>
      <c r="E5" s="4"/>
      <c r="F5" s="4"/>
      <c r="G5" s="4"/>
      <c r="H5" s="4"/>
      <c r="I5" s="4"/>
    </row>
    <row r="6" spans="2:14">
      <c r="B6" s="4"/>
      <c r="C6" s="4" t="s">
        <v>0</v>
      </c>
      <c r="D6" s="4"/>
      <c r="E6" s="4"/>
      <c r="F6" s="5">
        <v>20000000</v>
      </c>
      <c r="G6" s="5"/>
      <c r="H6" s="5"/>
      <c r="I6" s="4"/>
      <c r="J6" t="s">
        <v>27</v>
      </c>
      <c r="K6" s="1">
        <f>+F6-F19</f>
        <v>18166666.666666668</v>
      </c>
      <c r="L6" t="s">
        <v>27</v>
      </c>
      <c r="M6" s="1">
        <f>+(M3-M4)*1.1</f>
        <v>20453125</v>
      </c>
      <c r="N6" t="s">
        <v>30</v>
      </c>
    </row>
    <row r="7" spans="2:14">
      <c r="B7" s="4"/>
      <c r="C7" s="4" t="s">
        <v>1</v>
      </c>
      <c r="D7" s="4"/>
      <c r="E7" s="4"/>
      <c r="F7" s="5">
        <f>+F6*19%</f>
        <v>3800000</v>
      </c>
      <c r="G7" s="5"/>
      <c r="H7" s="5"/>
      <c r="I7" s="4"/>
      <c r="K7" s="1">
        <f>+K6/109*8</f>
        <v>1333333.3333333335</v>
      </c>
      <c r="M7" s="1">
        <f>+M6/85*8</f>
        <v>1925000</v>
      </c>
    </row>
    <row r="8" spans="2:14">
      <c r="B8" s="4"/>
      <c r="C8" s="4"/>
      <c r="D8" s="4" t="s">
        <v>2</v>
      </c>
      <c r="E8" s="4"/>
      <c r="F8" s="5"/>
      <c r="G8" s="5"/>
      <c r="H8" s="5">
        <f>+F6+F7</f>
        <v>23800000</v>
      </c>
      <c r="I8" s="4"/>
    </row>
    <row r="9" spans="2:14">
      <c r="B9" s="4"/>
      <c r="C9" s="4"/>
      <c r="D9" s="4"/>
      <c r="E9" s="4"/>
      <c r="F9" s="5"/>
      <c r="G9" s="5"/>
      <c r="H9" s="5"/>
      <c r="I9" s="4"/>
      <c r="K9" t="s">
        <v>33</v>
      </c>
    </row>
    <row r="10" spans="2:14">
      <c r="B10" s="4"/>
      <c r="C10" s="4" t="s">
        <v>15</v>
      </c>
      <c r="D10" s="4"/>
      <c r="E10" s="4"/>
      <c r="F10" s="5">
        <f>+H11+H12</f>
        <v>9520000</v>
      </c>
      <c r="G10" s="5"/>
      <c r="H10" s="5"/>
      <c r="I10" s="4"/>
      <c r="L10" t="s">
        <v>34</v>
      </c>
      <c r="M10" s="1">
        <f>+H32</f>
        <v>15126050.420168068</v>
      </c>
    </row>
    <row r="11" spans="2:14">
      <c r="B11" s="4"/>
      <c r="C11" s="4"/>
      <c r="D11" s="4" t="s">
        <v>16</v>
      </c>
      <c r="E11" s="4"/>
      <c r="F11" s="5"/>
      <c r="G11" s="5"/>
      <c r="H11" s="5">
        <v>8000000</v>
      </c>
      <c r="I11" s="4"/>
      <c r="L11" t="s">
        <v>36</v>
      </c>
    </row>
    <row r="12" spans="2:14">
      <c r="B12" s="4"/>
      <c r="C12" s="4"/>
      <c r="D12" s="4" t="s">
        <v>17</v>
      </c>
      <c r="E12" s="4"/>
      <c r="F12" s="5"/>
      <c r="G12" s="5"/>
      <c r="H12" s="5">
        <f>+H11*19%</f>
        <v>1520000</v>
      </c>
      <c r="I12" s="4"/>
      <c r="L12" t="s">
        <v>35</v>
      </c>
    </row>
    <row r="13" spans="2:14">
      <c r="B13" s="4"/>
      <c r="C13" s="4"/>
      <c r="D13" s="4"/>
      <c r="E13" s="4"/>
      <c r="F13" s="5"/>
      <c r="G13" s="5"/>
      <c r="H13" s="5"/>
      <c r="I13" s="4"/>
      <c r="L13" t="s">
        <v>37</v>
      </c>
      <c r="M13" s="1">
        <f>(+K3*1.05)*1.1</f>
        <v>23100000.000000004</v>
      </c>
    </row>
    <row r="14" spans="2:14">
      <c r="B14" s="4"/>
      <c r="C14" s="4" t="s">
        <v>18</v>
      </c>
      <c r="D14" s="4"/>
      <c r="E14" s="4"/>
      <c r="F14" s="5">
        <v>5000000</v>
      </c>
      <c r="G14" s="5"/>
      <c r="H14" s="5"/>
      <c r="I14" s="4"/>
      <c r="L14" t="s">
        <v>38</v>
      </c>
      <c r="M14" s="1">
        <f>+M4+M7</f>
        <v>4331250</v>
      </c>
    </row>
    <row r="15" spans="2:14">
      <c r="B15" s="4"/>
      <c r="C15" s="4" t="s">
        <v>1</v>
      </c>
      <c r="D15" s="4"/>
      <c r="E15" s="4"/>
      <c r="F15" s="5">
        <f>+F14*19%</f>
        <v>950000</v>
      </c>
      <c r="G15" s="5"/>
      <c r="H15" s="5"/>
      <c r="I15" s="4"/>
      <c r="M15" s="1">
        <f>+M13-M14</f>
        <v>18768750.000000004</v>
      </c>
    </row>
    <row r="16" spans="2:14">
      <c r="B16" s="4"/>
      <c r="C16" s="4"/>
      <c r="D16" s="4" t="s">
        <v>19</v>
      </c>
      <c r="E16" s="4"/>
      <c r="F16" s="5"/>
      <c r="G16" s="5"/>
      <c r="H16" s="5">
        <f>+F14+F15</f>
        <v>5950000</v>
      </c>
      <c r="I16" s="4"/>
      <c r="L16" t="s">
        <v>39</v>
      </c>
      <c r="M16" s="1">
        <f>+M10-M15</f>
        <v>-3642699.5798319355</v>
      </c>
    </row>
    <row r="17" spans="2:9">
      <c r="B17" s="4"/>
      <c r="C17" s="4"/>
      <c r="D17" s="4"/>
      <c r="E17" s="4"/>
      <c r="F17" s="4"/>
      <c r="G17" s="4"/>
      <c r="H17" s="4"/>
      <c r="I17" s="4"/>
    </row>
    <row r="18" spans="2:9">
      <c r="B18" s="4" t="s">
        <v>25</v>
      </c>
      <c r="C18" s="4"/>
      <c r="D18" s="4"/>
      <c r="E18" s="4"/>
      <c r="F18" s="4"/>
      <c r="G18" s="4"/>
      <c r="H18" s="4"/>
      <c r="I18" s="4"/>
    </row>
    <row r="19" spans="2:9">
      <c r="B19" s="4"/>
      <c r="C19" s="4" t="s">
        <v>3</v>
      </c>
      <c r="D19" s="4"/>
      <c r="E19" s="4"/>
      <c r="F19" s="5">
        <f>+K4</f>
        <v>1833333.3333333333</v>
      </c>
      <c r="G19" s="5"/>
      <c r="H19" s="4"/>
      <c r="I19" s="4"/>
    </row>
    <row r="20" spans="2:9">
      <c r="B20" s="4"/>
      <c r="C20" s="4"/>
      <c r="D20" s="4" t="s">
        <v>4</v>
      </c>
      <c r="E20" s="4"/>
      <c r="F20" s="4"/>
      <c r="G20" s="4"/>
      <c r="H20" s="5">
        <f>+F19</f>
        <v>1833333.3333333333</v>
      </c>
      <c r="I20" s="4"/>
    </row>
    <row r="22" spans="2:9">
      <c r="B22" s="2" t="s">
        <v>6</v>
      </c>
      <c r="C22" s="2"/>
      <c r="D22" s="2"/>
      <c r="E22" s="2"/>
      <c r="F22" s="2"/>
      <c r="G22" s="2"/>
      <c r="H22" s="2"/>
      <c r="I22" s="2"/>
    </row>
    <row r="23" spans="2:9">
      <c r="B23" s="2"/>
      <c r="C23" s="2" t="s">
        <v>3</v>
      </c>
      <c r="D23" s="2"/>
      <c r="E23" s="2"/>
      <c r="F23" s="3">
        <f>+K7</f>
        <v>1333333.3333333335</v>
      </c>
      <c r="G23" s="3"/>
      <c r="H23" s="3"/>
      <c r="I23" s="2"/>
    </row>
    <row r="24" spans="2:9">
      <c r="B24" s="2"/>
      <c r="C24" s="2"/>
      <c r="D24" s="2" t="str">
        <f>+D20</f>
        <v>depreciación acumulada</v>
      </c>
      <c r="E24" s="2"/>
      <c r="F24" s="3"/>
      <c r="G24" s="3"/>
      <c r="H24" s="3">
        <f>+F23</f>
        <v>1333333.3333333335</v>
      </c>
      <c r="I24" s="2"/>
    </row>
    <row r="25" spans="2:9">
      <c r="B25" s="2"/>
      <c r="C25" s="2" t="s">
        <v>7</v>
      </c>
      <c r="D25" s="2"/>
      <c r="E25" s="2"/>
      <c r="F25" s="2"/>
      <c r="G25" s="2"/>
      <c r="H25" s="2"/>
      <c r="I25" s="2"/>
    </row>
    <row r="26" spans="2:9">
      <c r="B26" s="2"/>
      <c r="C26" s="2"/>
      <c r="D26" s="2"/>
      <c r="E26" s="2"/>
      <c r="F26" s="2"/>
      <c r="G26" s="2"/>
      <c r="H26" s="2"/>
      <c r="I26" s="2"/>
    </row>
    <row r="27" spans="2:9">
      <c r="B27" s="2"/>
      <c r="C27" s="2" t="s">
        <v>8</v>
      </c>
      <c r="D27" s="2"/>
      <c r="E27" s="2"/>
      <c r="F27" s="3">
        <f>+H29-F28</f>
        <v>16833333.333333332</v>
      </c>
      <c r="G27" s="3"/>
      <c r="H27" s="2"/>
      <c r="I27" s="2"/>
    </row>
    <row r="28" spans="2:9">
      <c r="B28" s="2"/>
      <c r="C28" s="2" t="s">
        <v>4</v>
      </c>
      <c r="D28" s="2"/>
      <c r="E28" s="2"/>
      <c r="F28" s="3">
        <f>+H24+H20</f>
        <v>3166666.666666667</v>
      </c>
      <c r="G28" s="3"/>
      <c r="H28" s="2"/>
      <c r="I28" s="2"/>
    </row>
    <row r="29" spans="2:9">
      <c r="B29" s="2"/>
      <c r="C29" s="2"/>
      <c r="D29" s="2" t="s">
        <v>9</v>
      </c>
      <c r="E29" s="2"/>
      <c r="F29" s="2"/>
      <c r="G29" s="2"/>
      <c r="H29" s="3">
        <f>+F6</f>
        <v>20000000</v>
      </c>
      <c r="I29" s="2"/>
    </row>
    <row r="30" spans="2:9">
      <c r="B30" s="2"/>
      <c r="C30" s="2"/>
      <c r="D30" s="2"/>
      <c r="E30" s="2"/>
      <c r="F30" s="2"/>
      <c r="G30" s="2"/>
      <c r="H30" s="2"/>
      <c r="I30" s="2"/>
    </row>
    <row r="31" spans="2:9">
      <c r="B31" s="2"/>
      <c r="C31" s="2" t="s">
        <v>10</v>
      </c>
      <c r="D31" s="2"/>
      <c r="E31" s="2"/>
      <c r="F31" s="3">
        <v>18000000</v>
      </c>
      <c r="G31" s="3"/>
      <c r="H31" s="3"/>
      <c r="I31" s="2"/>
    </row>
    <row r="32" spans="2:9">
      <c r="B32" s="2"/>
      <c r="C32" s="2"/>
      <c r="D32" s="2" t="s">
        <v>11</v>
      </c>
      <c r="E32" s="2"/>
      <c r="F32" s="3"/>
      <c r="G32" s="3"/>
      <c r="H32" s="3">
        <f>+F31/1.19</f>
        <v>15126050.420168068</v>
      </c>
      <c r="I32" s="2"/>
    </row>
    <row r="33" spans="2:9">
      <c r="B33" s="2"/>
      <c r="C33" s="2"/>
      <c r="D33" s="2" t="s">
        <v>12</v>
      </c>
      <c r="E33" s="2"/>
      <c r="F33" s="3"/>
      <c r="G33" s="3"/>
      <c r="H33" s="3">
        <f>+H32*19%</f>
        <v>2873949.5798319331</v>
      </c>
      <c r="I33" s="2"/>
    </row>
    <row r="34" spans="2:9">
      <c r="B34" s="2"/>
      <c r="C34" s="2"/>
      <c r="D34" s="2"/>
      <c r="E34" s="2"/>
      <c r="F34" s="2"/>
      <c r="G34" s="2"/>
      <c r="H34" s="2"/>
      <c r="I34" s="2"/>
    </row>
    <row r="35" spans="2:9">
      <c r="B35" s="2"/>
      <c r="C35" s="2" t="s">
        <v>15</v>
      </c>
      <c r="D35" s="2"/>
      <c r="E35" s="2"/>
      <c r="F35" s="3">
        <f>+H36+H37</f>
        <v>17850000</v>
      </c>
      <c r="G35" s="3"/>
      <c r="H35" s="3"/>
      <c r="I35" s="2"/>
    </row>
    <row r="36" spans="2:9">
      <c r="B36" s="2"/>
      <c r="C36" s="2"/>
      <c r="D36" s="2" t="s">
        <v>16</v>
      </c>
      <c r="E36" s="2"/>
      <c r="F36" s="3"/>
      <c r="G36" s="3"/>
      <c r="H36" s="3">
        <v>15000000</v>
      </c>
      <c r="I36" s="2"/>
    </row>
    <row r="37" spans="2:9">
      <c r="B37" s="2"/>
      <c r="C37" s="2"/>
      <c r="D37" s="2" t="s">
        <v>17</v>
      </c>
      <c r="E37" s="2"/>
      <c r="F37" s="3"/>
      <c r="G37" s="3"/>
      <c r="H37" s="3">
        <f>+H36*19%</f>
        <v>2850000</v>
      </c>
      <c r="I37" s="2"/>
    </row>
    <row r="38" spans="2:9">
      <c r="B38" s="2"/>
      <c r="C38" s="2"/>
      <c r="D38" s="2"/>
      <c r="E38" s="2"/>
      <c r="F38" s="3"/>
      <c r="G38" s="3"/>
      <c r="H38" s="3"/>
      <c r="I38" s="2"/>
    </row>
    <row r="39" spans="2:9">
      <c r="B39" s="2"/>
      <c r="C39" s="2" t="s">
        <v>18</v>
      </c>
      <c r="D39" s="2"/>
      <c r="E39" s="2"/>
      <c r="F39" s="3">
        <v>10000000</v>
      </c>
      <c r="G39" s="3"/>
      <c r="H39" s="3"/>
      <c r="I39" s="2"/>
    </row>
    <row r="40" spans="2:9">
      <c r="B40" s="2"/>
      <c r="C40" s="2" t="s">
        <v>1</v>
      </c>
      <c r="D40" s="2"/>
      <c r="E40" s="2"/>
      <c r="F40" s="3">
        <f>+F39*19%</f>
        <v>1900000</v>
      </c>
      <c r="G40" s="3"/>
      <c r="H40" s="3"/>
      <c r="I40" s="2"/>
    </row>
    <row r="41" spans="2:9">
      <c r="B41" s="2"/>
      <c r="C41" s="2"/>
      <c r="D41" s="2" t="s">
        <v>19</v>
      </c>
      <c r="E41" s="2"/>
      <c r="F41" s="3"/>
      <c r="G41" s="3"/>
      <c r="H41" s="3">
        <f>+F39+F40</f>
        <v>11900000</v>
      </c>
      <c r="I41" s="2"/>
    </row>
    <row r="42" spans="2:9">
      <c r="F42" s="1"/>
      <c r="G42" s="1"/>
      <c r="H42" s="1"/>
    </row>
    <row r="43" spans="2:9">
      <c r="B43" t="s">
        <v>14</v>
      </c>
    </row>
    <row r="45" spans="2:9">
      <c r="C45" t="s">
        <v>20</v>
      </c>
      <c r="E45" s="1">
        <f>+H11-F14-F19</f>
        <v>1166666.6666666667</v>
      </c>
    </row>
    <row r="46" spans="2:9">
      <c r="C46" t="s">
        <v>21</v>
      </c>
    </row>
    <row r="47" spans="2:9">
      <c r="C47" t="s">
        <v>22</v>
      </c>
      <c r="E47" s="1">
        <f>+F19</f>
        <v>1833333.3333333333</v>
      </c>
    </row>
    <row r="48" spans="2:9">
      <c r="C48" t="s">
        <v>23</v>
      </c>
    </row>
    <row r="49" spans="2:5">
      <c r="C49" t="s">
        <v>24</v>
      </c>
      <c r="E49" s="1">
        <f>-M4</f>
        <v>-2406250</v>
      </c>
    </row>
    <row r="50" spans="2:5">
      <c r="C50" t="s">
        <v>31</v>
      </c>
      <c r="E50" s="1">
        <f>SUM(E45:E49)</f>
        <v>593750</v>
      </c>
    </row>
    <row r="52" spans="2:5">
      <c r="B52" t="s">
        <v>32</v>
      </c>
    </row>
    <row r="54" spans="2:5">
      <c r="C54" t="s">
        <v>20</v>
      </c>
      <c r="E54" s="1">
        <f>+H36-F39+H32-F27-F23</f>
        <v>1959383.7535014027</v>
      </c>
    </row>
    <row r="55" spans="2:5">
      <c r="C55" t="s">
        <v>21</v>
      </c>
    </row>
    <row r="56" spans="2:5">
      <c r="C56" t="s">
        <v>22</v>
      </c>
      <c r="E56" s="1">
        <f>+F23</f>
        <v>1333333.3333333335</v>
      </c>
    </row>
    <row r="57" spans="2:5">
      <c r="C57" t="str">
        <f>+C27</f>
        <v>costo de venta activo inmovilizado</v>
      </c>
      <c r="E57" s="1">
        <f>+F27</f>
        <v>16833333.333333332</v>
      </c>
    </row>
    <row r="58" spans="2:5">
      <c r="C58" t="s">
        <v>23</v>
      </c>
    </row>
    <row r="59" spans="2:5">
      <c r="C59" t="s">
        <v>24</v>
      </c>
      <c r="E59" s="1">
        <f>-M7</f>
        <v>-1925000</v>
      </c>
    </row>
    <row r="60" spans="2:5">
      <c r="C60" t="str">
        <f>+D32</f>
        <v>venta activo inmovilizado</v>
      </c>
      <c r="E60" s="1">
        <f>-H32</f>
        <v>-15126050.420168068</v>
      </c>
    </row>
    <row r="61" spans="2:5">
      <c r="C61" t="s">
        <v>40</v>
      </c>
      <c r="E61" s="1">
        <f>+M16</f>
        <v>-3642699.5798319355</v>
      </c>
    </row>
    <row r="62" spans="2:5">
      <c r="C62" t="s">
        <v>60</v>
      </c>
      <c r="E62" s="1">
        <f>SUM(E54:E61)</f>
        <v>-567699.57983193547</v>
      </c>
    </row>
    <row r="65" spans="2:8">
      <c r="B65" t="s">
        <v>55</v>
      </c>
    </row>
    <row r="66" spans="2:8">
      <c r="E66" t="s">
        <v>48</v>
      </c>
      <c r="F66" t="s">
        <v>61</v>
      </c>
      <c r="H66" t="s">
        <v>49</v>
      </c>
    </row>
    <row r="67" spans="2:8">
      <c r="C67" s="6" t="s">
        <v>44</v>
      </c>
      <c r="D67" s="6"/>
      <c r="E67" s="6"/>
      <c r="F67" s="6"/>
      <c r="G67" s="6"/>
      <c r="H67" s="6"/>
    </row>
    <row r="68" spans="2:8">
      <c r="C68" t="s">
        <v>45</v>
      </c>
      <c r="E68" s="1">
        <f>+H11</f>
        <v>8000000</v>
      </c>
      <c r="H68" s="1">
        <f>+E68</f>
        <v>8000000</v>
      </c>
    </row>
    <row r="69" spans="2:8">
      <c r="C69" t="s">
        <v>41</v>
      </c>
      <c r="E69" s="1">
        <f>+E68</f>
        <v>8000000</v>
      </c>
      <c r="F69" s="1"/>
      <c r="G69" s="1"/>
      <c r="H69" s="1">
        <f t="shared" ref="H69" si="0">+H68</f>
        <v>8000000</v>
      </c>
    </row>
    <row r="70" spans="2:8">
      <c r="C70" s="6" t="s">
        <v>46</v>
      </c>
      <c r="D70" s="6"/>
      <c r="E70" s="6"/>
      <c r="F70" s="6"/>
      <c r="G70" s="6"/>
      <c r="H70" s="6"/>
    </row>
    <row r="71" spans="2:8">
      <c r="C71" t="s">
        <v>47</v>
      </c>
      <c r="F71" s="1">
        <f>+F6</f>
        <v>20000000</v>
      </c>
      <c r="H71" s="1">
        <f>-F71</f>
        <v>-20000000</v>
      </c>
    </row>
    <row r="72" spans="2:8">
      <c r="C72" t="s">
        <v>42</v>
      </c>
      <c r="E72" s="1">
        <f>-F14</f>
        <v>-5000000</v>
      </c>
      <c r="H72" s="1">
        <f>+E72</f>
        <v>-5000000</v>
      </c>
    </row>
    <row r="73" spans="2:8">
      <c r="C73" t="s">
        <v>43</v>
      </c>
      <c r="E73" s="1">
        <f>-F19</f>
        <v>-1833333.3333333333</v>
      </c>
    </row>
    <row r="74" spans="2:8">
      <c r="C74" t="s">
        <v>53</v>
      </c>
      <c r="E74" s="1">
        <f>SUM(E72:E73)</f>
        <v>-6833333.333333333</v>
      </c>
      <c r="F74" s="1"/>
      <c r="G74" s="1"/>
      <c r="H74" s="1">
        <f>SUM(H71:H73)</f>
        <v>-25000000</v>
      </c>
    </row>
    <row r="75" spans="2:8">
      <c r="E75" s="1"/>
    </row>
    <row r="76" spans="2:8">
      <c r="C76" s="7" t="s">
        <v>51</v>
      </c>
      <c r="D76" s="7"/>
      <c r="E76" s="8">
        <f>+E69+E74</f>
        <v>1166666.666666667</v>
      </c>
      <c r="F76" s="7"/>
      <c r="G76" s="7" t="s">
        <v>54</v>
      </c>
      <c r="H76" s="8">
        <f>+H69+H74</f>
        <v>-17000000</v>
      </c>
    </row>
    <row r="78" spans="2:8">
      <c r="C78" t="s">
        <v>56</v>
      </c>
    </row>
    <row r="79" spans="2:8">
      <c r="E79" t="s">
        <v>48</v>
      </c>
      <c r="F79" t="s">
        <v>50</v>
      </c>
      <c r="H79" t="s">
        <v>49</v>
      </c>
    </row>
    <row r="80" spans="2:8">
      <c r="C80" s="6" t="s">
        <v>44</v>
      </c>
      <c r="D80" s="6"/>
      <c r="E80" s="6"/>
      <c r="F80" s="6"/>
      <c r="G80" s="6"/>
      <c r="H80" s="6"/>
    </row>
    <row r="81" spans="3:8">
      <c r="C81" t="s">
        <v>45</v>
      </c>
      <c r="E81" s="1">
        <f>+H36</f>
        <v>15000000</v>
      </c>
      <c r="H81" s="1">
        <f>+E81</f>
        <v>15000000</v>
      </c>
    </row>
    <row r="82" spans="3:8">
      <c r="C82" t="s">
        <v>57</v>
      </c>
      <c r="E82" s="1">
        <f>+H32</f>
        <v>15126050.420168068</v>
      </c>
      <c r="H82" s="1">
        <f>+E82</f>
        <v>15126050.420168068</v>
      </c>
    </row>
    <row r="83" spans="3:8">
      <c r="C83" t="s">
        <v>41</v>
      </c>
      <c r="E83" s="1">
        <f>+E81+E82</f>
        <v>30126050.420168068</v>
      </c>
      <c r="F83" s="1"/>
      <c r="G83" s="1"/>
      <c r="H83" s="1">
        <f t="shared" ref="H83" si="1">+H81+H82</f>
        <v>30126050.420168068</v>
      </c>
    </row>
    <row r="84" spans="3:8">
      <c r="C84" s="6" t="s">
        <v>46</v>
      </c>
      <c r="D84" s="6"/>
      <c r="E84" s="6"/>
      <c r="F84" s="6"/>
      <c r="G84" s="6"/>
      <c r="H84" s="6"/>
    </row>
    <row r="85" spans="3:8">
      <c r="C85" t="s">
        <v>47</v>
      </c>
      <c r="F85" s="1"/>
      <c r="H85" s="1">
        <f>-F85</f>
        <v>0</v>
      </c>
    </row>
    <row r="86" spans="3:8">
      <c r="C86" t="s">
        <v>42</v>
      </c>
      <c r="E86" s="1">
        <f>-F39</f>
        <v>-10000000</v>
      </c>
      <c r="H86" s="1">
        <f>+E86</f>
        <v>-10000000</v>
      </c>
    </row>
    <row r="87" spans="3:8">
      <c r="C87" t="s">
        <v>58</v>
      </c>
      <c r="E87" s="1"/>
      <c r="F87" s="1">
        <f>+H76</f>
        <v>-17000000</v>
      </c>
      <c r="H87" s="1">
        <f>+F87</f>
        <v>-17000000</v>
      </c>
    </row>
    <row r="88" spans="3:8">
      <c r="C88" t="s">
        <v>59</v>
      </c>
      <c r="E88" s="1">
        <f>-F27</f>
        <v>-16833333.333333332</v>
      </c>
    </row>
    <row r="89" spans="3:8">
      <c r="C89" t="s">
        <v>43</v>
      </c>
      <c r="E89" s="1">
        <f>-F23</f>
        <v>-1333333.3333333335</v>
      </c>
      <c r="H89" s="1"/>
    </row>
    <row r="90" spans="3:8">
      <c r="C90" t="s">
        <v>53</v>
      </c>
      <c r="E90" s="1">
        <f>SUM(E86:E89)</f>
        <v>-28166666.666666664</v>
      </c>
      <c r="F90" s="1"/>
      <c r="G90" s="1"/>
      <c r="H90" s="1">
        <f>SUM(H86:H89)</f>
        <v>-27000000</v>
      </c>
    </row>
    <row r="91" spans="3:8">
      <c r="E91" s="1"/>
    </row>
    <row r="92" spans="3:8">
      <c r="C92" s="7" t="s">
        <v>51</v>
      </c>
      <c r="D92" s="7"/>
      <c r="E92" s="8">
        <f>+E83+E90</f>
        <v>1959383.7535014041</v>
      </c>
      <c r="F92" s="7"/>
      <c r="G92" s="7" t="s">
        <v>52</v>
      </c>
      <c r="H92" s="8">
        <f>+H83+H90</f>
        <v>3126050.4201680683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N93"/>
  <sheetViews>
    <sheetView topLeftCell="A34" zoomScale="190" zoomScaleNormal="190" workbookViewId="0">
      <selection activeCell="E50" sqref="E50"/>
    </sheetView>
  </sheetViews>
  <sheetFormatPr baseColWidth="10" defaultRowHeight="15"/>
  <cols>
    <col min="4" max="4" width="18.28515625" customWidth="1"/>
    <col min="5" max="5" width="16.28515625" customWidth="1"/>
    <col min="6" max="6" width="14" bestFit="1" customWidth="1"/>
    <col min="7" max="7" width="6.42578125" customWidth="1"/>
    <col min="8" max="8" width="12.140625" bestFit="1" customWidth="1"/>
    <col min="13" max="13" width="12.42578125" bestFit="1" customWidth="1"/>
  </cols>
  <sheetData>
    <row r="3" spans="2:14">
      <c r="B3" t="s">
        <v>13</v>
      </c>
      <c r="J3" t="s">
        <v>26</v>
      </c>
      <c r="K3" s="1">
        <f>+F6</f>
        <v>20000000</v>
      </c>
      <c r="L3" t="s">
        <v>28</v>
      </c>
      <c r="M3" s="1">
        <f>+K3*1.05</f>
        <v>21000000</v>
      </c>
      <c r="N3" t="s">
        <v>29</v>
      </c>
    </row>
    <row r="4" spans="2:14">
      <c r="K4" s="1">
        <f>+(K3/120)*11</f>
        <v>1833333.3333333333</v>
      </c>
      <c r="M4" s="1">
        <f>+(M3/96)*11</f>
        <v>2406250</v>
      </c>
    </row>
    <row r="5" spans="2:14">
      <c r="B5" s="4" t="s">
        <v>5</v>
      </c>
      <c r="C5" s="4"/>
      <c r="D5" s="4"/>
      <c r="E5" s="4"/>
      <c r="F5" s="4"/>
      <c r="G5" s="4"/>
      <c r="H5" s="4"/>
      <c r="I5" s="4"/>
    </row>
    <row r="6" spans="2:14">
      <c r="B6" s="4"/>
      <c r="C6" s="4" t="s">
        <v>0</v>
      </c>
      <c r="D6" s="4"/>
      <c r="E6" s="4"/>
      <c r="F6" s="5">
        <v>20000000</v>
      </c>
      <c r="G6" s="5"/>
      <c r="H6" s="5"/>
      <c r="I6" s="4"/>
      <c r="J6" t="s">
        <v>27</v>
      </c>
      <c r="K6" s="1">
        <f>+F6-F19</f>
        <v>18166666.666666668</v>
      </c>
      <c r="L6" t="s">
        <v>27</v>
      </c>
      <c r="M6" s="1">
        <f>+(M3-M4)*1.1</f>
        <v>20453125</v>
      </c>
      <c r="N6" t="s">
        <v>30</v>
      </c>
    </row>
    <row r="7" spans="2:14">
      <c r="B7" s="4"/>
      <c r="C7" s="4" t="s">
        <v>1</v>
      </c>
      <c r="D7" s="4"/>
      <c r="E7" s="4"/>
      <c r="F7" s="5">
        <f>+F6*19%</f>
        <v>3800000</v>
      </c>
      <c r="G7" s="5"/>
      <c r="H7" s="5"/>
      <c r="I7" s="4"/>
      <c r="K7" s="1">
        <f>+K6/109*8</f>
        <v>1333333.3333333335</v>
      </c>
      <c r="M7" s="1">
        <f>+M6/85*8</f>
        <v>1925000</v>
      </c>
    </row>
    <row r="8" spans="2:14">
      <c r="B8" s="4"/>
      <c r="C8" s="4"/>
      <c r="D8" s="4" t="s">
        <v>2</v>
      </c>
      <c r="E8" s="4"/>
      <c r="F8" s="5"/>
      <c r="G8" s="5"/>
      <c r="H8" s="5">
        <f>+F6+F7</f>
        <v>23800000</v>
      </c>
      <c r="I8" s="4"/>
    </row>
    <row r="9" spans="2:14">
      <c r="B9" s="4"/>
      <c r="C9" s="4"/>
      <c r="D9" s="4"/>
      <c r="E9" s="4"/>
      <c r="F9" s="5"/>
      <c r="G9" s="5"/>
      <c r="H9" s="5"/>
      <c r="I9" s="4"/>
      <c r="K9" t="s">
        <v>33</v>
      </c>
    </row>
    <row r="10" spans="2:14">
      <c r="B10" s="4"/>
      <c r="C10" s="4" t="s">
        <v>15</v>
      </c>
      <c r="D10" s="4"/>
      <c r="E10" s="4"/>
      <c r="F10" s="5">
        <f>+H11+H12</f>
        <v>0</v>
      </c>
      <c r="G10" s="5"/>
      <c r="H10" s="5"/>
      <c r="I10" s="4"/>
      <c r="L10" t="s">
        <v>34</v>
      </c>
      <c r="M10" s="1">
        <f>+H32</f>
        <v>15126050.420168068</v>
      </c>
    </row>
    <row r="11" spans="2:14">
      <c r="B11" s="4"/>
      <c r="C11" s="4"/>
      <c r="D11" s="4" t="s">
        <v>16</v>
      </c>
      <c r="E11" s="4"/>
      <c r="F11" s="5"/>
      <c r="G11" s="5"/>
      <c r="H11" s="5"/>
      <c r="I11" s="4"/>
      <c r="L11" t="s">
        <v>36</v>
      </c>
    </row>
    <row r="12" spans="2:14">
      <c r="B12" s="4"/>
      <c r="C12" s="4"/>
      <c r="D12" s="4" t="s">
        <v>17</v>
      </c>
      <c r="E12" s="4"/>
      <c r="F12" s="5"/>
      <c r="G12" s="5"/>
      <c r="H12" s="5">
        <f>+H11*19%</f>
        <v>0</v>
      </c>
      <c r="I12" s="4"/>
      <c r="L12" t="s">
        <v>35</v>
      </c>
    </row>
    <row r="13" spans="2:14">
      <c r="B13" s="4"/>
      <c r="C13" s="4"/>
      <c r="D13" s="4"/>
      <c r="E13" s="4"/>
      <c r="F13" s="5"/>
      <c r="G13" s="5"/>
      <c r="H13" s="5"/>
      <c r="I13" s="4"/>
      <c r="L13" t="s">
        <v>37</v>
      </c>
      <c r="M13" s="1">
        <f>(+K3*1.05)*1.1</f>
        <v>23100000.000000004</v>
      </c>
    </row>
    <row r="14" spans="2:14">
      <c r="B14" s="4"/>
      <c r="C14" s="4" t="s">
        <v>18</v>
      </c>
      <c r="D14" s="4"/>
      <c r="E14" s="4"/>
      <c r="F14" s="5"/>
      <c r="G14" s="5"/>
      <c r="H14" s="5"/>
      <c r="I14" s="4"/>
      <c r="L14" t="s">
        <v>38</v>
      </c>
      <c r="M14" s="1">
        <f>+M4+M7</f>
        <v>4331250</v>
      </c>
    </row>
    <row r="15" spans="2:14">
      <c r="B15" s="4"/>
      <c r="C15" s="4" t="s">
        <v>1</v>
      </c>
      <c r="D15" s="4"/>
      <c r="E15" s="4"/>
      <c r="F15" s="5">
        <f>+F14*19%</f>
        <v>0</v>
      </c>
      <c r="G15" s="5"/>
      <c r="H15" s="5"/>
      <c r="I15" s="4"/>
      <c r="M15" s="1">
        <f>+M13-M14</f>
        <v>18768750.000000004</v>
      </c>
    </row>
    <row r="16" spans="2:14">
      <c r="B16" s="4"/>
      <c r="C16" s="4"/>
      <c r="D16" s="4" t="s">
        <v>19</v>
      </c>
      <c r="E16" s="4"/>
      <c r="F16" s="5"/>
      <c r="G16" s="5"/>
      <c r="H16" s="5">
        <f>+F14+F15</f>
        <v>0</v>
      </c>
      <c r="I16" s="4"/>
      <c r="L16" t="s">
        <v>39</v>
      </c>
      <c r="M16" s="1">
        <f>+M10-M15</f>
        <v>-3642699.5798319355</v>
      </c>
    </row>
    <row r="17" spans="2:9">
      <c r="B17" s="4"/>
      <c r="C17" s="4"/>
      <c r="D17" s="4"/>
      <c r="E17" s="4"/>
      <c r="F17" s="4"/>
      <c r="G17" s="4"/>
      <c r="H17" s="4"/>
      <c r="I17" s="4"/>
    </row>
    <row r="18" spans="2:9">
      <c r="B18" s="4" t="s">
        <v>25</v>
      </c>
      <c r="C18" s="4"/>
      <c r="D18" s="4"/>
      <c r="E18" s="4"/>
      <c r="F18" s="4"/>
      <c r="G18" s="4"/>
      <c r="H18" s="4"/>
      <c r="I18" s="4"/>
    </row>
    <row r="19" spans="2:9">
      <c r="B19" s="4"/>
      <c r="C19" s="4" t="s">
        <v>3</v>
      </c>
      <c r="D19" s="4"/>
      <c r="E19" s="4"/>
      <c r="F19" s="5">
        <f>+K4</f>
        <v>1833333.3333333333</v>
      </c>
      <c r="G19" s="5"/>
      <c r="H19" s="4"/>
      <c r="I19" s="4"/>
    </row>
    <row r="20" spans="2:9">
      <c r="B20" s="4"/>
      <c r="C20" s="4"/>
      <c r="D20" s="4" t="s">
        <v>4</v>
      </c>
      <c r="E20" s="4"/>
      <c r="F20" s="4"/>
      <c r="G20" s="4"/>
      <c r="H20" s="5">
        <f>+F19</f>
        <v>1833333.3333333333</v>
      </c>
      <c r="I20" s="4"/>
    </row>
    <row r="22" spans="2:9">
      <c r="B22" s="2" t="s">
        <v>6</v>
      </c>
      <c r="C22" s="2"/>
      <c r="D22" s="2"/>
      <c r="E22" s="2"/>
      <c r="F22" s="2"/>
      <c r="G22" s="2"/>
      <c r="H22" s="2"/>
      <c r="I22" s="2"/>
    </row>
    <row r="23" spans="2:9">
      <c r="B23" s="2"/>
      <c r="C23" s="2" t="s">
        <v>3</v>
      </c>
      <c r="D23" s="2"/>
      <c r="E23" s="2"/>
      <c r="F23" s="3">
        <f>+K7</f>
        <v>1333333.3333333335</v>
      </c>
      <c r="G23" s="3"/>
      <c r="H23" s="3"/>
      <c r="I23" s="2"/>
    </row>
    <row r="24" spans="2:9">
      <c r="B24" s="2"/>
      <c r="C24" s="2"/>
      <c r="D24" s="2" t="str">
        <f>+D20</f>
        <v>depreciación acumulada</v>
      </c>
      <c r="E24" s="2"/>
      <c r="F24" s="3"/>
      <c r="G24" s="3"/>
      <c r="H24" s="3">
        <f>+F23</f>
        <v>1333333.3333333335</v>
      </c>
      <c r="I24" s="2"/>
    </row>
    <row r="25" spans="2:9">
      <c r="B25" s="2"/>
      <c r="C25" s="2" t="s">
        <v>7</v>
      </c>
      <c r="D25" s="2"/>
      <c r="E25" s="2"/>
      <c r="F25" s="2"/>
      <c r="G25" s="2"/>
      <c r="H25" s="2"/>
      <c r="I25" s="2"/>
    </row>
    <row r="26" spans="2:9">
      <c r="B26" s="2"/>
      <c r="C26" s="2"/>
      <c r="D26" s="2"/>
      <c r="E26" s="2"/>
      <c r="F26" s="2"/>
      <c r="G26" s="2"/>
      <c r="H26" s="2"/>
      <c r="I26" s="2"/>
    </row>
    <row r="27" spans="2:9">
      <c r="B27" s="2"/>
      <c r="C27" s="2" t="s">
        <v>8</v>
      </c>
      <c r="D27" s="2"/>
      <c r="E27" s="2"/>
      <c r="F27" s="3">
        <f>+H29-F28</f>
        <v>16833333.333333332</v>
      </c>
      <c r="G27" s="3"/>
      <c r="H27" s="2"/>
      <c r="I27" s="2"/>
    </row>
    <row r="28" spans="2:9">
      <c r="B28" s="2"/>
      <c r="C28" s="2" t="s">
        <v>4</v>
      </c>
      <c r="D28" s="2"/>
      <c r="E28" s="2"/>
      <c r="F28" s="3">
        <f>+H24+H20</f>
        <v>3166666.666666667</v>
      </c>
      <c r="G28" s="3"/>
      <c r="H28" s="2"/>
      <c r="I28" s="2"/>
    </row>
    <row r="29" spans="2:9">
      <c r="B29" s="2"/>
      <c r="C29" s="2"/>
      <c r="D29" s="2" t="s">
        <v>9</v>
      </c>
      <c r="E29" s="2"/>
      <c r="F29" s="2"/>
      <c r="G29" s="2"/>
      <c r="H29" s="3">
        <f>+F6</f>
        <v>20000000</v>
      </c>
      <c r="I29" s="2"/>
    </row>
    <row r="30" spans="2:9">
      <c r="B30" s="2"/>
      <c r="C30" s="2"/>
      <c r="D30" s="2"/>
      <c r="E30" s="2"/>
      <c r="F30" s="2"/>
      <c r="G30" s="2"/>
      <c r="H30" s="2"/>
      <c r="I30" s="2"/>
    </row>
    <row r="31" spans="2:9">
      <c r="B31" s="2"/>
      <c r="C31" s="2" t="s">
        <v>10</v>
      </c>
      <c r="D31" s="2"/>
      <c r="E31" s="2"/>
      <c r="F31" s="3">
        <v>18000000</v>
      </c>
      <c r="G31" s="3"/>
      <c r="H31" s="3"/>
      <c r="I31" s="2"/>
    </row>
    <row r="32" spans="2:9">
      <c r="B32" s="2"/>
      <c r="C32" s="2"/>
      <c r="D32" s="2" t="s">
        <v>11</v>
      </c>
      <c r="E32" s="2"/>
      <c r="F32" s="3"/>
      <c r="G32" s="3"/>
      <c r="H32" s="3">
        <f>+F31/1.19</f>
        <v>15126050.420168068</v>
      </c>
      <c r="I32" s="2"/>
    </row>
    <row r="33" spans="2:9">
      <c r="B33" s="2"/>
      <c r="C33" s="2"/>
      <c r="D33" s="2" t="s">
        <v>12</v>
      </c>
      <c r="E33" s="2"/>
      <c r="F33" s="3"/>
      <c r="G33" s="3"/>
      <c r="H33" s="3">
        <f>+H32*19%</f>
        <v>2873949.5798319331</v>
      </c>
      <c r="I33" s="2"/>
    </row>
    <row r="34" spans="2:9">
      <c r="B34" s="2"/>
      <c r="C34" s="2"/>
      <c r="D34" s="2"/>
      <c r="E34" s="2"/>
      <c r="F34" s="2"/>
      <c r="G34" s="2"/>
      <c r="H34" s="2"/>
      <c r="I34" s="2"/>
    </row>
    <row r="35" spans="2:9">
      <c r="B35" s="2"/>
      <c r="C35" s="2" t="s">
        <v>15</v>
      </c>
      <c r="D35" s="2"/>
      <c r="E35" s="2"/>
      <c r="F35" s="3">
        <f>+H36+H37</f>
        <v>0</v>
      </c>
      <c r="G35" s="3"/>
      <c r="H35" s="3"/>
      <c r="I35" s="2"/>
    </row>
    <row r="36" spans="2:9">
      <c r="B36" s="2"/>
      <c r="C36" s="2"/>
      <c r="D36" s="2" t="s">
        <v>16</v>
      </c>
      <c r="E36" s="2"/>
      <c r="F36" s="3"/>
      <c r="G36" s="3"/>
      <c r="H36" s="3"/>
      <c r="I36" s="2"/>
    </row>
    <row r="37" spans="2:9">
      <c r="B37" s="2"/>
      <c r="C37" s="2"/>
      <c r="D37" s="2" t="s">
        <v>17</v>
      </c>
      <c r="E37" s="2"/>
      <c r="F37" s="3"/>
      <c r="G37" s="3"/>
      <c r="H37" s="3">
        <f>+H36*19%</f>
        <v>0</v>
      </c>
      <c r="I37" s="2"/>
    </row>
    <row r="38" spans="2:9">
      <c r="B38" s="2"/>
      <c r="C38" s="2"/>
      <c r="D38" s="2"/>
      <c r="E38" s="2"/>
      <c r="F38" s="3"/>
      <c r="G38" s="3"/>
      <c r="H38" s="3"/>
      <c r="I38" s="2"/>
    </row>
    <row r="39" spans="2:9">
      <c r="B39" s="2"/>
      <c r="C39" s="2" t="s">
        <v>18</v>
      </c>
      <c r="D39" s="2"/>
      <c r="E39" s="2"/>
      <c r="F39" s="3"/>
      <c r="G39" s="3"/>
      <c r="H39" s="3"/>
      <c r="I39" s="2"/>
    </row>
    <row r="40" spans="2:9">
      <c r="B40" s="2"/>
      <c r="C40" s="2" t="s">
        <v>1</v>
      </c>
      <c r="D40" s="2"/>
      <c r="E40" s="2"/>
      <c r="F40" s="3">
        <f>+F39*19%</f>
        <v>0</v>
      </c>
      <c r="G40" s="3"/>
      <c r="H40" s="3"/>
      <c r="I40" s="2"/>
    </row>
    <row r="41" spans="2:9">
      <c r="B41" s="2"/>
      <c r="C41" s="2"/>
      <c r="D41" s="2" t="s">
        <v>19</v>
      </c>
      <c r="E41" s="2"/>
      <c r="F41" s="3"/>
      <c r="G41" s="3"/>
      <c r="H41" s="3">
        <f>+F39+F40</f>
        <v>0</v>
      </c>
      <c r="I41" s="2"/>
    </row>
    <row r="42" spans="2:9">
      <c r="F42" s="1"/>
      <c r="G42" s="1"/>
      <c r="H42" s="1"/>
    </row>
    <row r="43" spans="2:9">
      <c r="B43" t="s">
        <v>14</v>
      </c>
    </row>
    <row r="45" spans="2:9">
      <c r="C45" t="s">
        <v>20</v>
      </c>
      <c r="E45" s="1">
        <f>+H11-F14-F19</f>
        <v>-1833333.3333333333</v>
      </c>
    </row>
    <row r="46" spans="2:9">
      <c r="C46" t="s">
        <v>21</v>
      </c>
    </row>
    <row r="47" spans="2:9">
      <c r="C47" t="s">
        <v>22</v>
      </c>
      <c r="E47" s="1">
        <f>+F19</f>
        <v>1833333.3333333333</v>
      </c>
    </row>
    <row r="48" spans="2:9">
      <c r="C48" t="s">
        <v>23</v>
      </c>
    </row>
    <row r="49" spans="2:5">
      <c r="C49" t="s">
        <v>24</v>
      </c>
      <c r="E49" s="1">
        <f>-M4</f>
        <v>-2406250</v>
      </c>
    </row>
    <row r="50" spans="2:5">
      <c r="C50" t="s">
        <v>62</v>
      </c>
      <c r="E50" s="1">
        <f>SUM(E45:E49)</f>
        <v>-2406250</v>
      </c>
    </row>
    <row r="52" spans="2:5">
      <c r="B52" t="s">
        <v>32</v>
      </c>
    </row>
    <row r="54" spans="2:5">
      <c r="C54" t="s">
        <v>20</v>
      </c>
      <c r="E54" s="1">
        <f>+H36-F39+H32-F27-F23</f>
        <v>-3040616.2464985973</v>
      </c>
    </row>
    <row r="55" spans="2:5">
      <c r="C55" t="s">
        <v>21</v>
      </c>
    </row>
    <row r="56" spans="2:5">
      <c r="C56" t="s">
        <v>22</v>
      </c>
      <c r="E56" s="1">
        <f>+F23</f>
        <v>1333333.3333333335</v>
      </c>
    </row>
    <row r="57" spans="2:5">
      <c r="C57" t="str">
        <f>+C27</f>
        <v>costo de venta activo inmovilizado</v>
      </c>
      <c r="E57" s="1">
        <f>+F27</f>
        <v>16833333.333333332</v>
      </c>
    </row>
    <row r="58" spans="2:5">
      <c r="C58" t="s">
        <v>23</v>
      </c>
    </row>
    <row r="59" spans="2:5">
      <c r="C59" t="s">
        <v>24</v>
      </c>
      <c r="E59" s="1">
        <f>-M7</f>
        <v>-1925000</v>
      </c>
    </row>
    <row r="60" spans="2:5">
      <c r="C60" t="str">
        <f>+D32</f>
        <v>venta activo inmovilizado</v>
      </c>
      <c r="E60" s="1">
        <f>-H32</f>
        <v>-15126050.420168068</v>
      </c>
    </row>
    <row r="61" spans="2:5">
      <c r="C61" t="s">
        <v>40</v>
      </c>
      <c r="E61" s="1">
        <f>+M16</f>
        <v>-3642699.5798319355</v>
      </c>
    </row>
    <row r="62" spans="2:5">
      <c r="B62" t="s">
        <v>64</v>
      </c>
      <c r="C62" t="s">
        <v>63</v>
      </c>
      <c r="E62" s="1">
        <f>+E50*1.13</f>
        <v>-2719062.4999999995</v>
      </c>
    </row>
    <row r="63" spans="2:5">
      <c r="C63" t="s">
        <v>60</v>
      </c>
      <c r="E63" s="1">
        <f>SUM(E54:E62)</f>
        <v>-8286762.0798319355</v>
      </c>
    </row>
    <row r="66" spans="2:8">
      <c r="B66" t="s">
        <v>55</v>
      </c>
    </row>
    <row r="67" spans="2:8">
      <c r="E67" t="s">
        <v>48</v>
      </c>
      <c r="F67" t="s">
        <v>61</v>
      </c>
      <c r="H67" t="s">
        <v>49</v>
      </c>
    </row>
    <row r="68" spans="2:8">
      <c r="C68" s="6" t="s">
        <v>44</v>
      </c>
      <c r="D68" s="6"/>
      <c r="E68" s="6"/>
      <c r="F68" s="6"/>
      <c r="G68" s="6"/>
      <c r="H68" s="6"/>
    </row>
    <row r="69" spans="2:8">
      <c r="C69" t="s">
        <v>45</v>
      </c>
      <c r="E69" s="1">
        <f>+H11</f>
        <v>0</v>
      </c>
      <c r="H69" s="1">
        <f>+E69</f>
        <v>0</v>
      </c>
    </row>
    <row r="70" spans="2:8">
      <c r="C70" t="s">
        <v>41</v>
      </c>
      <c r="E70" s="1">
        <f>+E69</f>
        <v>0</v>
      </c>
      <c r="F70" s="1"/>
      <c r="G70" s="1"/>
      <c r="H70" s="1">
        <f t="shared" ref="H70" si="0">+H69</f>
        <v>0</v>
      </c>
    </row>
    <row r="71" spans="2:8">
      <c r="C71" s="6" t="s">
        <v>46</v>
      </c>
      <c r="D71" s="6"/>
      <c r="E71" s="6"/>
      <c r="F71" s="6"/>
      <c r="G71" s="6"/>
      <c r="H71" s="6"/>
    </row>
    <row r="72" spans="2:8">
      <c r="C72" t="s">
        <v>47</v>
      </c>
      <c r="F72" s="1">
        <f>+F6</f>
        <v>20000000</v>
      </c>
      <c r="H72" s="1">
        <f>-F72</f>
        <v>-20000000</v>
      </c>
    </row>
    <row r="73" spans="2:8">
      <c r="C73" t="s">
        <v>42</v>
      </c>
      <c r="E73" s="1">
        <f>-F14</f>
        <v>0</v>
      </c>
      <c r="H73" s="1">
        <f>+E73</f>
        <v>0</v>
      </c>
    </row>
    <row r="74" spans="2:8">
      <c r="C74" t="s">
        <v>43</v>
      </c>
      <c r="E74" s="1">
        <f>-F19</f>
        <v>-1833333.3333333333</v>
      </c>
    </row>
    <row r="75" spans="2:8">
      <c r="C75" t="s">
        <v>53</v>
      </c>
      <c r="E75" s="1">
        <f>SUM(E73:E74)</f>
        <v>-1833333.3333333333</v>
      </c>
      <c r="F75" s="1"/>
      <c r="G75" s="1"/>
      <c r="H75" s="1">
        <f>SUM(H72:H74)</f>
        <v>-20000000</v>
      </c>
    </row>
    <row r="76" spans="2:8">
      <c r="E76" s="1"/>
    </row>
    <row r="77" spans="2:8">
      <c r="C77" s="7" t="s">
        <v>51</v>
      </c>
      <c r="D77" s="7"/>
      <c r="E77" s="8">
        <f>+E70+E75</f>
        <v>-1833333.3333333333</v>
      </c>
      <c r="F77" s="7"/>
      <c r="G77" s="7" t="s">
        <v>54</v>
      </c>
      <c r="H77" s="8">
        <f>+H70+H75</f>
        <v>-20000000</v>
      </c>
    </row>
    <row r="79" spans="2:8">
      <c r="C79" t="s">
        <v>56</v>
      </c>
    </row>
    <row r="80" spans="2:8">
      <c r="E80" t="s">
        <v>48</v>
      </c>
      <c r="F80" t="s">
        <v>50</v>
      </c>
      <c r="H80" t="s">
        <v>49</v>
      </c>
    </row>
    <row r="81" spans="3:8">
      <c r="C81" s="6" t="s">
        <v>44</v>
      </c>
      <c r="D81" s="6"/>
      <c r="E81" s="6"/>
      <c r="F81" s="6"/>
      <c r="G81" s="6"/>
      <c r="H81" s="6"/>
    </row>
    <row r="82" spans="3:8">
      <c r="C82" t="s">
        <v>45</v>
      </c>
      <c r="E82" s="1">
        <f>+H36</f>
        <v>0</v>
      </c>
      <c r="H82" s="1">
        <f>+E82</f>
        <v>0</v>
      </c>
    </row>
    <row r="83" spans="3:8">
      <c r="C83" t="s">
        <v>57</v>
      </c>
      <c r="E83" s="1">
        <f>+H32</f>
        <v>15126050.420168068</v>
      </c>
      <c r="H83" s="1">
        <f>+E83</f>
        <v>15126050.420168068</v>
      </c>
    </row>
    <row r="84" spans="3:8">
      <c r="C84" t="s">
        <v>41</v>
      </c>
      <c r="E84" s="1">
        <f>+E82+E83</f>
        <v>15126050.420168068</v>
      </c>
      <c r="F84" s="1"/>
      <c r="G84" s="1"/>
      <c r="H84" s="1">
        <f t="shared" ref="H84" si="1">+H82+H83</f>
        <v>15126050.420168068</v>
      </c>
    </row>
    <row r="85" spans="3:8">
      <c r="C85" s="6" t="s">
        <v>46</v>
      </c>
      <c r="D85" s="6"/>
      <c r="E85" s="6"/>
      <c r="F85" s="6"/>
      <c r="G85" s="6"/>
      <c r="H85" s="6"/>
    </row>
    <row r="86" spans="3:8">
      <c r="C86" t="s">
        <v>47</v>
      </c>
      <c r="F86" s="1"/>
      <c r="H86" s="1">
        <f>-F86</f>
        <v>0</v>
      </c>
    </row>
    <row r="87" spans="3:8">
      <c r="C87" t="s">
        <v>42</v>
      </c>
      <c r="E87" s="1">
        <f>-F39</f>
        <v>0</v>
      </c>
      <c r="H87" s="1">
        <f>+E87</f>
        <v>0</v>
      </c>
    </row>
    <row r="88" spans="3:8">
      <c r="C88" t="s">
        <v>58</v>
      </c>
      <c r="E88" s="1"/>
      <c r="F88" s="1">
        <f>+H77</f>
        <v>-20000000</v>
      </c>
      <c r="H88" s="1">
        <f>+F88</f>
        <v>-20000000</v>
      </c>
    </row>
    <row r="89" spans="3:8">
      <c r="C89" t="s">
        <v>59</v>
      </c>
      <c r="E89" s="1">
        <f>-F27</f>
        <v>-16833333.333333332</v>
      </c>
    </row>
    <row r="90" spans="3:8">
      <c r="C90" t="s">
        <v>43</v>
      </c>
      <c r="E90" s="1">
        <f>-F23</f>
        <v>-1333333.3333333335</v>
      </c>
      <c r="H90" s="1"/>
    </row>
    <row r="91" spans="3:8">
      <c r="C91" t="s">
        <v>53</v>
      </c>
      <c r="E91" s="1">
        <f>SUM(E87:E90)</f>
        <v>-18166666.666666664</v>
      </c>
      <c r="F91" s="1"/>
      <c r="G91" s="1"/>
      <c r="H91" s="1">
        <f>SUM(H87:H90)</f>
        <v>-20000000</v>
      </c>
    </row>
    <row r="92" spans="3:8">
      <c r="E92" s="1"/>
    </row>
    <row r="93" spans="3:8">
      <c r="C93" s="7" t="s">
        <v>51</v>
      </c>
      <c r="D93" s="7"/>
      <c r="E93" s="8">
        <f>+E84+E91</f>
        <v>-3040616.2464985959</v>
      </c>
      <c r="F93" s="7"/>
      <c r="G93" s="7" t="s">
        <v>54</v>
      </c>
      <c r="H93" s="8">
        <f>+H84+H91</f>
        <v>-4873949.5798319317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6"/>
  <sheetViews>
    <sheetView topLeftCell="A4" zoomScale="166" zoomScaleNormal="166" workbookViewId="0">
      <selection activeCell="C12" sqref="C12"/>
    </sheetView>
  </sheetViews>
  <sheetFormatPr baseColWidth="10" defaultRowHeight="15"/>
  <cols>
    <col min="1" max="1" width="31.140625" bestFit="1" customWidth="1"/>
    <col min="2" max="2" width="15.85546875" customWidth="1"/>
    <col min="3" max="7" width="14" bestFit="1" customWidth="1"/>
    <col min="8" max="9" width="13.85546875" customWidth="1"/>
  </cols>
  <sheetData>
    <row r="3" spans="1:9">
      <c r="B3" s="9" t="s">
        <v>78</v>
      </c>
      <c r="C3" s="9"/>
      <c r="D3" s="9"/>
    </row>
    <row r="7" spans="1:9">
      <c r="A7" s="11" t="s">
        <v>65</v>
      </c>
      <c r="B7" s="11" t="s">
        <v>66</v>
      </c>
      <c r="C7" s="11" t="s">
        <v>67</v>
      </c>
      <c r="D7" s="11" t="s">
        <v>68</v>
      </c>
      <c r="E7" s="11" t="s">
        <v>69</v>
      </c>
      <c r="F7" s="11" t="s">
        <v>70</v>
      </c>
      <c r="G7" s="11" t="s">
        <v>71</v>
      </c>
      <c r="H7" s="11" t="s">
        <v>72</v>
      </c>
      <c r="I7" s="11" t="s">
        <v>73</v>
      </c>
    </row>
    <row r="8" spans="1:9">
      <c r="A8" s="11" t="s">
        <v>79</v>
      </c>
      <c r="B8" s="12">
        <f>+'alt a'!F10</f>
        <v>9520000</v>
      </c>
      <c r="C8" s="12"/>
      <c r="D8" s="13">
        <f t="shared" ref="D8" si="0">IF(B8&gt;C8,(B8-C8),0)</f>
        <v>9520000</v>
      </c>
      <c r="E8" s="13">
        <f t="shared" ref="E8:E22" si="1">IF(C8&gt;B8,C8-B8,0)</f>
        <v>0</v>
      </c>
      <c r="F8" s="13">
        <f t="shared" ref="F8" si="2">IF(D8&gt;E8,D8,0)</f>
        <v>9520000</v>
      </c>
      <c r="G8" s="13">
        <f t="shared" ref="G8" si="3">IF(E8&gt;D8,E8,0)</f>
        <v>0</v>
      </c>
      <c r="H8" s="13"/>
      <c r="I8" s="13"/>
    </row>
    <row r="9" spans="1:9">
      <c r="A9" s="11" t="s">
        <v>80</v>
      </c>
      <c r="B9" s="12">
        <f>+'alt a'!F7+'alt a'!F15</f>
        <v>4750000</v>
      </c>
      <c r="C9" s="12"/>
      <c r="D9" s="13">
        <f t="shared" ref="D9:D15" si="4">IF(B9&gt;C9,(B9-C9),0)</f>
        <v>4750000</v>
      </c>
      <c r="E9" s="13">
        <f t="shared" ref="E9:E21" si="5">IF(C9&gt;B9,C9-B9,0)</f>
        <v>0</v>
      </c>
      <c r="F9" s="13">
        <f t="shared" ref="F9:F13" si="6">IF(D9&gt;E9,D9,0)</f>
        <v>4750000</v>
      </c>
      <c r="G9" s="13">
        <f t="shared" ref="G9:G13" si="7">IF(E9&gt;D9,E9,0)</f>
        <v>0</v>
      </c>
      <c r="H9" s="13"/>
      <c r="I9" s="13"/>
    </row>
    <row r="10" spans="1:9">
      <c r="A10" s="11" t="s">
        <v>81</v>
      </c>
      <c r="B10" s="12">
        <f>+'alt a'!F6</f>
        <v>20000000</v>
      </c>
      <c r="C10" s="12"/>
      <c r="D10" s="13">
        <f t="shared" si="4"/>
        <v>20000000</v>
      </c>
      <c r="E10" s="13">
        <f t="shared" si="5"/>
        <v>0</v>
      </c>
      <c r="F10" s="13">
        <f t="shared" si="6"/>
        <v>20000000</v>
      </c>
      <c r="G10" s="13">
        <f t="shared" si="7"/>
        <v>0</v>
      </c>
      <c r="H10" s="13"/>
      <c r="I10" s="13"/>
    </row>
    <row r="11" spans="1:9">
      <c r="A11" s="11" t="s">
        <v>86</v>
      </c>
      <c r="B11" s="12"/>
      <c r="C11" s="12">
        <f>+'alt a'!H20</f>
        <v>1833333.3333333333</v>
      </c>
      <c r="D11" s="13">
        <f t="shared" ref="D11" si="8">IF(B11&gt;C11,(B11-C11),0)</f>
        <v>0</v>
      </c>
      <c r="E11" s="13">
        <f t="shared" ref="E11" si="9">IF(C11&gt;B11,C11-B11,0)</f>
        <v>1833333.3333333333</v>
      </c>
      <c r="F11" s="13">
        <f t="shared" ref="F11" si="10">IF(D11&gt;E11,D11,0)</f>
        <v>0</v>
      </c>
      <c r="G11" s="13">
        <f t="shared" ref="G11" si="11">IF(E11&gt;D11,E11,0)</f>
        <v>1833333.3333333333</v>
      </c>
      <c r="H11" s="13"/>
      <c r="I11" s="13"/>
    </row>
    <row r="12" spans="1:9">
      <c r="A12" s="11" t="s">
        <v>85</v>
      </c>
      <c r="B12" s="12"/>
      <c r="C12" s="12">
        <f>+'alt a'!H12</f>
        <v>1520000</v>
      </c>
      <c r="D12" s="13">
        <f t="shared" si="4"/>
        <v>0</v>
      </c>
      <c r="E12" s="13">
        <f t="shared" si="5"/>
        <v>1520000</v>
      </c>
      <c r="F12" s="13">
        <f t="shared" si="6"/>
        <v>0</v>
      </c>
      <c r="G12" s="13">
        <f t="shared" si="7"/>
        <v>1520000</v>
      </c>
      <c r="H12" s="13"/>
      <c r="I12" s="13"/>
    </row>
    <row r="13" spans="1:9">
      <c r="A13" s="11" t="s">
        <v>74</v>
      </c>
      <c r="B13" s="12"/>
      <c r="C13" s="12">
        <f>+'alt a'!H8+'alt a'!H16</f>
        <v>29750000</v>
      </c>
      <c r="D13" s="13">
        <f t="shared" si="4"/>
        <v>0</v>
      </c>
      <c r="E13" s="13">
        <f t="shared" si="5"/>
        <v>29750000</v>
      </c>
      <c r="F13" s="13">
        <f t="shared" si="6"/>
        <v>0</v>
      </c>
      <c r="G13" s="13">
        <f t="shared" si="7"/>
        <v>29750000</v>
      </c>
      <c r="H13" s="13"/>
      <c r="I13" s="13"/>
    </row>
    <row r="14" spans="1:9">
      <c r="A14" s="11" t="s">
        <v>82</v>
      </c>
      <c r="B14" s="12">
        <f>+'alt a'!F14</f>
        <v>5000000</v>
      </c>
      <c r="C14" s="12"/>
      <c r="D14" s="13">
        <f t="shared" si="4"/>
        <v>5000000</v>
      </c>
      <c r="E14" s="13">
        <f t="shared" ref="E14:E15" si="12">IF(C14&gt;B14,C14-B14,0)</f>
        <v>0</v>
      </c>
      <c r="F14" s="13"/>
      <c r="G14" s="13"/>
      <c r="H14" s="13">
        <f t="shared" ref="H14:H15" si="13">IF(D14&gt;0,D14,0)</f>
        <v>5000000</v>
      </c>
      <c r="I14" s="13">
        <f t="shared" ref="I14:I15" si="14">IF(E14&gt;0,E14,0)</f>
        <v>0</v>
      </c>
    </row>
    <row r="15" spans="1:9">
      <c r="A15" s="11" t="s">
        <v>83</v>
      </c>
      <c r="B15" s="12">
        <f>+'alt a'!F19</f>
        <v>1833333.3333333333</v>
      </c>
      <c r="C15" s="12"/>
      <c r="D15" s="13">
        <f t="shared" si="4"/>
        <v>1833333.3333333333</v>
      </c>
      <c r="E15" s="13">
        <f t="shared" si="12"/>
        <v>0</v>
      </c>
      <c r="F15" s="13"/>
      <c r="G15" s="13"/>
      <c r="H15" s="13">
        <f t="shared" si="13"/>
        <v>1833333.3333333333</v>
      </c>
      <c r="I15" s="13">
        <f t="shared" si="14"/>
        <v>0</v>
      </c>
    </row>
    <row r="16" spans="1:9">
      <c r="A16" s="11" t="s">
        <v>84</v>
      </c>
      <c r="B16" s="12"/>
      <c r="C16" s="12">
        <f>+'alt a'!H11</f>
        <v>8000000</v>
      </c>
      <c r="D16" s="13">
        <f t="shared" ref="D16:D21" si="15">IF(B16&gt;C16,B16-C16,0)</f>
        <v>0</v>
      </c>
      <c r="E16" s="13">
        <f t="shared" si="5"/>
        <v>8000000</v>
      </c>
      <c r="F16" s="13"/>
      <c r="G16" s="13"/>
      <c r="H16" s="13">
        <f t="shared" ref="H16:H21" si="16">IF(D16&gt;0,D16,0)</f>
        <v>0</v>
      </c>
      <c r="I16" s="13">
        <f t="shared" ref="I16:I21" si="17">IF(E16&gt;0,E16,0)</f>
        <v>8000000</v>
      </c>
    </row>
    <row r="17" spans="1:9">
      <c r="A17" s="11"/>
      <c r="B17" s="12"/>
      <c r="C17" s="12"/>
      <c r="D17" s="13">
        <f t="shared" si="15"/>
        <v>0</v>
      </c>
      <c r="E17" s="13">
        <f t="shared" si="5"/>
        <v>0</v>
      </c>
      <c r="F17" s="13"/>
      <c r="G17" s="13"/>
      <c r="H17" s="13">
        <f t="shared" si="16"/>
        <v>0</v>
      </c>
      <c r="I17" s="13">
        <f t="shared" si="17"/>
        <v>0</v>
      </c>
    </row>
    <row r="18" spans="1:9">
      <c r="A18" s="11"/>
      <c r="B18" s="12"/>
      <c r="C18" s="12"/>
      <c r="D18" s="13">
        <f t="shared" si="15"/>
        <v>0</v>
      </c>
      <c r="E18" s="13">
        <f t="shared" si="5"/>
        <v>0</v>
      </c>
      <c r="F18" s="13"/>
      <c r="G18" s="13"/>
      <c r="H18" s="13">
        <f t="shared" si="16"/>
        <v>0</v>
      </c>
      <c r="I18" s="13">
        <f t="shared" si="17"/>
        <v>0</v>
      </c>
    </row>
    <row r="19" spans="1:9">
      <c r="A19" s="11"/>
      <c r="B19" s="12"/>
      <c r="C19" s="12"/>
      <c r="D19" s="13">
        <f t="shared" si="15"/>
        <v>0</v>
      </c>
      <c r="E19" s="13">
        <f t="shared" si="5"/>
        <v>0</v>
      </c>
      <c r="F19" s="13"/>
      <c r="G19" s="13"/>
      <c r="H19" s="13">
        <f t="shared" si="16"/>
        <v>0</v>
      </c>
      <c r="I19" s="13">
        <f t="shared" si="17"/>
        <v>0</v>
      </c>
    </row>
    <row r="20" spans="1:9">
      <c r="A20" s="11"/>
      <c r="B20" s="12"/>
      <c r="C20" s="12"/>
      <c r="D20" s="13">
        <f t="shared" si="15"/>
        <v>0</v>
      </c>
      <c r="E20" s="13">
        <f t="shared" si="5"/>
        <v>0</v>
      </c>
      <c r="F20" s="13"/>
      <c r="G20" s="13"/>
      <c r="H20" s="13">
        <f t="shared" si="16"/>
        <v>0</v>
      </c>
      <c r="I20" s="13">
        <f t="shared" si="17"/>
        <v>0</v>
      </c>
    </row>
    <row r="21" spans="1:9">
      <c r="A21" s="11"/>
      <c r="B21" s="12"/>
      <c r="C21" s="12"/>
      <c r="D21" s="13">
        <f t="shared" si="15"/>
        <v>0</v>
      </c>
      <c r="E21" s="13">
        <f t="shared" si="5"/>
        <v>0</v>
      </c>
      <c r="F21" s="13"/>
      <c r="G21" s="13"/>
      <c r="H21" s="13">
        <f t="shared" si="16"/>
        <v>0</v>
      </c>
      <c r="I21" s="13">
        <f t="shared" si="17"/>
        <v>0</v>
      </c>
    </row>
    <row r="22" spans="1:9">
      <c r="A22" s="10"/>
      <c r="B22" s="12"/>
      <c r="C22" s="12"/>
      <c r="D22" s="13">
        <f t="shared" ref="D22" si="18">IF(B22&gt;C22,B22-C22,0)</f>
        <v>0</v>
      </c>
      <c r="E22" s="13">
        <f t="shared" si="1"/>
        <v>0</v>
      </c>
      <c r="F22" s="13"/>
      <c r="G22" s="13"/>
      <c r="H22" s="13">
        <f t="shared" ref="H22:I22" si="19">IF(D22&gt;0,D22,0)</f>
        <v>0</v>
      </c>
      <c r="I22" s="13">
        <f t="shared" si="19"/>
        <v>0</v>
      </c>
    </row>
    <row r="23" spans="1:9">
      <c r="A23" s="11" t="s">
        <v>75</v>
      </c>
      <c r="B23" s="14">
        <f t="shared" ref="B23:I23" si="20">SUM(B8:B22)</f>
        <v>41103333.333333336</v>
      </c>
      <c r="C23" s="14">
        <f t="shared" si="20"/>
        <v>41103333.333333328</v>
      </c>
      <c r="D23" s="14">
        <f t="shared" si="20"/>
        <v>41103333.333333336</v>
      </c>
      <c r="E23" s="14">
        <f t="shared" si="20"/>
        <v>41103333.333333328</v>
      </c>
      <c r="F23" s="14">
        <f t="shared" si="20"/>
        <v>34270000</v>
      </c>
      <c r="G23" s="14">
        <f t="shared" si="20"/>
        <v>33103333.333333332</v>
      </c>
      <c r="H23" s="14">
        <f t="shared" si="20"/>
        <v>6833333.333333333</v>
      </c>
      <c r="I23" s="14">
        <f t="shared" si="20"/>
        <v>8000000</v>
      </c>
    </row>
    <row r="24" spans="1:9">
      <c r="A24" s="11" t="s">
        <v>76</v>
      </c>
      <c r="B24" s="15"/>
      <c r="C24" s="15"/>
      <c r="D24" s="15"/>
      <c r="E24" s="15"/>
      <c r="F24" s="15"/>
      <c r="G24" s="15">
        <f>+F23-G23</f>
        <v>1166666.6666666679</v>
      </c>
      <c r="H24" s="15">
        <f>+I23-H23</f>
        <v>1166666.666666667</v>
      </c>
      <c r="I24" s="15"/>
    </row>
    <row r="25" spans="1:9">
      <c r="A25" s="11" t="s">
        <v>77</v>
      </c>
      <c r="B25" s="15">
        <f t="shared" ref="B25:I25" si="21">SUM(B23:B24)</f>
        <v>41103333.333333336</v>
      </c>
      <c r="C25" s="15">
        <f t="shared" si="21"/>
        <v>41103333.333333328</v>
      </c>
      <c r="D25" s="15">
        <f t="shared" si="21"/>
        <v>41103333.333333336</v>
      </c>
      <c r="E25" s="15">
        <f t="shared" si="21"/>
        <v>41103333.333333328</v>
      </c>
      <c r="F25" s="15">
        <f t="shared" si="21"/>
        <v>34270000</v>
      </c>
      <c r="G25" s="15">
        <f t="shared" si="21"/>
        <v>34270000</v>
      </c>
      <c r="H25" s="15">
        <f t="shared" si="21"/>
        <v>8000000</v>
      </c>
      <c r="I25" s="15">
        <f t="shared" si="21"/>
        <v>8000000</v>
      </c>
    </row>
    <row r="26" spans="1:9">
      <c r="C26" s="16">
        <f>+C25-B25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8"/>
  <sheetViews>
    <sheetView topLeftCell="A7" zoomScale="166" zoomScaleNormal="166" workbookViewId="0">
      <selection activeCell="G26" sqref="G26"/>
    </sheetView>
  </sheetViews>
  <sheetFormatPr baseColWidth="10" defaultRowHeight="15"/>
  <cols>
    <col min="1" max="1" width="34" customWidth="1"/>
    <col min="2" max="2" width="15.85546875" customWidth="1"/>
    <col min="3" max="7" width="14" bestFit="1" customWidth="1"/>
    <col min="8" max="9" width="13.85546875" customWidth="1"/>
  </cols>
  <sheetData>
    <row r="3" spans="1:9">
      <c r="B3" s="9" t="s">
        <v>78</v>
      </c>
      <c r="C3" s="9"/>
      <c r="D3" s="9"/>
    </row>
    <row r="7" spans="1:9">
      <c r="A7" s="11" t="s">
        <v>65</v>
      </c>
      <c r="B7" s="11" t="s">
        <v>66</v>
      </c>
      <c r="C7" s="11" t="s">
        <v>67</v>
      </c>
      <c r="D7" s="11" t="s">
        <v>68</v>
      </c>
      <c r="E7" s="11" t="s">
        <v>69</v>
      </c>
      <c r="F7" s="11" t="s">
        <v>70</v>
      </c>
      <c r="G7" s="11" t="s">
        <v>71</v>
      </c>
      <c r="H7" s="11" t="s">
        <v>72</v>
      </c>
      <c r="I7" s="11" t="s">
        <v>73</v>
      </c>
    </row>
    <row r="8" spans="1:9">
      <c r="A8" s="11" t="s">
        <v>79</v>
      </c>
      <c r="B8" s="12">
        <f>+'BALANCE AÑO 1'!F8+'alt a'!F35+'alt a'!F31</f>
        <v>45370000</v>
      </c>
      <c r="C8" s="12"/>
      <c r="D8" s="13">
        <f t="shared" ref="D8:D16" si="0">IF(B8&gt;C8,(B8-C8),0)</f>
        <v>45370000</v>
      </c>
      <c r="E8" s="13">
        <f t="shared" ref="E8:E24" si="1">IF(C8&gt;B8,C8-B8,0)</f>
        <v>0</v>
      </c>
      <c r="F8" s="13">
        <f t="shared" ref="F8:F12" si="2">IF(D8&gt;E8,D8,0)</f>
        <v>45370000</v>
      </c>
      <c r="G8" s="13">
        <f t="shared" ref="G8:G12" si="3">IF(E8&gt;D8,E8,0)</f>
        <v>0</v>
      </c>
      <c r="H8" s="13"/>
      <c r="I8" s="13"/>
    </row>
    <row r="9" spans="1:9">
      <c r="A9" s="11" t="s">
        <v>80</v>
      </c>
      <c r="B9" s="12">
        <f>+'BALANCE AÑO 1'!F9+'alt a'!F40</f>
        <v>6650000</v>
      </c>
      <c r="C9" s="12"/>
      <c r="D9" s="13">
        <f t="shared" si="0"/>
        <v>6650000</v>
      </c>
      <c r="E9" s="13">
        <f t="shared" si="1"/>
        <v>0</v>
      </c>
      <c r="F9" s="13">
        <f t="shared" si="2"/>
        <v>6650000</v>
      </c>
      <c r="G9" s="13">
        <f t="shared" si="3"/>
        <v>0</v>
      </c>
      <c r="H9" s="13"/>
      <c r="I9" s="13"/>
    </row>
    <row r="10" spans="1:9">
      <c r="A10" s="11" t="s">
        <v>81</v>
      </c>
      <c r="B10" s="12">
        <f>+'BALANCE AÑO 1'!F10</f>
        <v>20000000</v>
      </c>
      <c r="C10" s="12">
        <f>+'alt a'!H29</f>
        <v>20000000</v>
      </c>
      <c r="D10" s="13">
        <f t="shared" si="0"/>
        <v>0</v>
      </c>
      <c r="E10" s="13">
        <f t="shared" si="1"/>
        <v>0</v>
      </c>
      <c r="F10" s="13">
        <f t="shared" si="2"/>
        <v>0</v>
      </c>
      <c r="G10" s="13">
        <f t="shared" si="3"/>
        <v>0</v>
      </c>
      <c r="H10" s="13"/>
      <c r="I10" s="13"/>
    </row>
    <row r="11" spans="1:9">
      <c r="A11" s="11" t="s">
        <v>86</v>
      </c>
      <c r="B11" s="12">
        <f>+'alt a'!F28</f>
        <v>3166666.666666667</v>
      </c>
      <c r="C11" s="12">
        <f>+'BALANCE AÑO 1'!G11+'alt a'!H24</f>
        <v>3166666.666666667</v>
      </c>
      <c r="D11" s="13">
        <f t="shared" si="0"/>
        <v>0</v>
      </c>
      <c r="E11" s="13">
        <f t="shared" si="1"/>
        <v>0</v>
      </c>
      <c r="F11" s="13">
        <f t="shared" si="2"/>
        <v>0</v>
      </c>
      <c r="G11" s="13">
        <f t="shared" si="3"/>
        <v>0</v>
      </c>
      <c r="H11" s="13"/>
      <c r="I11" s="13"/>
    </row>
    <row r="12" spans="1:9">
      <c r="A12" s="11" t="s">
        <v>85</v>
      </c>
      <c r="B12" s="12"/>
      <c r="C12" s="12">
        <f>+'BALANCE AÑO 1'!G12+'alt a'!H33+'alt a'!H37</f>
        <v>7243949.5798319336</v>
      </c>
      <c r="D12" s="13">
        <f t="shared" si="0"/>
        <v>0</v>
      </c>
      <c r="E12" s="13">
        <f t="shared" si="1"/>
        <v>7243949.5798319336</v>
      </c>
      <c r="F12" s="13">
        <f t="shared" si="2"/>
        <v>0</v>
      </c>
      <c r="G12" s="13">
        <f t="shared" si="3"/>
        <v>7243949.5798319336</v>
      </c>
      <c r="H12" s="13"/>
      <c r="I12" s="13"/>
    </row>
    <row r="13" spans="1:9">
      <c r="A13" s="11" t="s">
        <v>74</v>
      </c>
      <c r="B13" s="12"/>
      <c r="C13" s="12">
        <f>+'BALANCE AÑO 1'!G13+'alt a'!H41</f>
        <v>41650000</v>
      </c>
      <c r="D13" s="13">
        <f>IF(B13&gt;C13,(B13-C13),0)</f>
        <v>0</v>
      </c>
      <c r="E13" s="13">
        <f>IF(C13&gt;B13,C13-B13,0)</f>
        <v>41650000</v>
      </c>
      <c r="F13" s="13">
        <f>IF(D13&gt;E13,D13,0)</f>
        <v>0</v>
      </c>
      <c r="G13" s="13">
        <f>IF(E13&gt;D13,E13,0)</f>
        <v>41650000</v>
      </c>
      <c r="H13" s="13"/>
      <c r="I13" s="13"/>
    </row>
    <row r="14" spans="1:9">
      <c r="A14" s="11" t="s">
        <v>87</v>
      </c>
      <c r="B14" s="12"/>
      <c r="C14" s="12">
        <f>+'BALANCE AÑO 1'!G24</f>
        <v>1166666.6666666679</v>
      </c>
      <c r="D14" s="13">
        <f>IF(B14&gt;C14,(B14-C14),0)</f>
        <v>0</v>
      </c>
      <c r="E14" s="13">
        <f>IF(C14&gt;B14,C14-B14,0)</f>
        <v>1166666.6666666679</v>
      </c>
      <c r="F14" s="13">
        <f>IF(D14&gt;E14,D14,0)</f>
        <v>0</v>
      </c>
      <c r="G14" s="13">
        <f>IF(E14&gt;D14,E14,0)</f>
        <v>1166666.6666666679</v>
      </c>
      <c r="H14" s="13"/>
      <c r="I14" s="13"/>
    </row>
    <row r="15" spans="1:9">
      <c r="A15" s="11" t="s">
        <v>82</v>
      </c>
      <c r="B15" s="12">
        <f>+'alt a'!F39</f>
        <v>10000000</v>
      </c>
      <c r="C15" s="12"/>
      <c r="D15" s="13">
        <f t="shared" si="0"/>
        <v>10000000</v>
      </c>
      <c r="E15" s="13">
        <f t="shared" si="1"/>
        <v>0</v>
      </c>
      <c r="F15" s="13"/>
      <c r="G15" s="13"/>
      <c r="H15" s="13">
        <f t="shared" ref="H15:I24" si="4">IF(D15&gt;0,D15,0)</f>
        <v>10000000</v>
      </c>
      <c r="I15" s="13">
        <f t="shared" si="4"/>
        <v>0</v>
      </c>
    </row>
    <row r="16" spans="1:9">
      <c r="A16" s="11" t="s">
        <v>83</v>
      </c>
      <c r="B16" s="12">
        <f>+'alt a'!F23</f>
        <v>1333333.3333333335</v>
      </c>
      <c r="C16" s="12"/>
      <c r="D16" s="13">
        <f t="shared" si="0"/>
        <v>1333333.3333333335</v>
      </c>
      <c r="E16" s="13">
        <f t="shared" si="1"/>
        <v>0</v>
      </c>
      <c r="F16" s="13"/>
      <c r="G16" s="13"/>
      <c r="H16" s="13">
        <f t="shared" si="4"/>
        <v>1333333.3333333335</v>
      </c>
      <c r="I16" s="13">
        <f t="shared" si="4"/>
        <v>0</v>
      </c>
    </row>
    <row r="17" spans="1:9">
      <c r="A17" s="11" t="s">
        <v>88</v>
      </c>
      <c r="B17" s="12">
        <f>+'alt a'!F27</f>
        <v>16833333.333333332</v>
      </c>
      <c r="C17" s="12"/>
      <c r="D17" s="13">
        <f t="shared" ref="D17" si="5">IF(B17&gt;C17,(B17-C17),0)</f>
        <v>16833333.333333332</v>
      </c>
      <c r="E17" s="13">
        <f t="shared" ref="E17" si="6">IF(C17&gt;B17,C17-B17,0)</f>
        <v>0</v>
      </c>
      <c r="F17" s="13"/>
      <c r="G17" s="13"/>
      <c r="H17" s="13">
        <f t="shared" ref="H17" si="7">IF(D17&gt;0,D17,0)</f>
        <v>16833333.333333332</v>
      </c>
      <c r="I17" s="13">
        <f t="shared" ref="I17" si="8">IF(E17&gt;0,E17,0)</f>
        <v>0</v>
      </c>
    </row>
    <row r="18" spans="1:9">
      <c r="A18" s="11" t="s">
        <v>84</v>
      </c>
      <c r="B18" s="12"/>
      <c r="C18" s="12">
        <f>+'alt a'!H36</f>
        <v>15000000</v>
      </c>
      <c r="D18" s="13">
        <f t="shared" ref="D18:D24" si="9">IF(B18&gt;C18,B18-C18,0)</f>
        <v>0</v>
      </c>
      <c r="E18" s="13">
        <f t="shared" si="1"/>
        <v>15000000</v>
      </c>
      <c r="F18" s="13"/>
      <c r="G18" s="13"/>
      <c r="H18" s="13">
        <f t="shared" si="4"/>
        <v>0</v>
      </c>
      <c r="I18" s="13">
        <f t="shared" si="4"/>
        <v>15000000</v>
      </c>
    </row>
    <row r="19" spans="1:9">
      <c r="A19" s="11" t="s">
        <v>89</v>
      </c>
      <c r="B19" s="12"/>
      <c r="C19" s="12">
        <f>+'alt a'!H32</f>
        <v>15126050.420168068</v>
      </c>
      <c r="D19" s="13">
        <f t="shared" si="9"/>
        <v>0</v>
      </c>
      <c r="E19" s="13">
        <f t="shared" si="1"/>
        <v>15126050.420168068</v>
      </c>
      <c r="F19" s="13"/>
      <c r="G19" s="13"/>
      <c r="H19" s="13">
        <f t="shared" si="4"/>
        <v>0</v>
      </c>
      <c r="I19" s="13">
        <f t="shared" si="4"/>
        <v>15126050.420168068</v>
      </c>
    </row>
    <row r="20" spans="1:9">
      <c r="A20" s="11"/>
      <c r="B20" s="12"/>
      <c r="C20" s="12"/>
      <c r="D20" s="13">
        <f t="shared" si="9"/>
        <v>0</v>
      </c>
      <c r="E20" s="13">
        <f t="shared" si="1"/>
        <v>0</v>
      </c>
      <c r="F20" s="13"/>
      <c r="G20" s="13"/>
      <c r="H20" s="13">
        <f t="shared" si="4"/>
        <v>0</v>
      </c>
      <c r="I20" s="13">
        <f t="shared" si="4"/>
        <v>0</v>
      </c>
    </row>
    <row r="21" spans="1:9">
      <c r="A21" s="11"/>
      <c r="B21" s="12"/>
      <c r="C21" s="12"/>
      <c r="D21" s="13">
        <f t="shared" si="9"/>
        <v>0</v>
      </c>
      <c r="E21" s="13">
        <f t="shared" si="1"/>
        <v>0</v>
      </c>
      <c r="F21" s="13"/>
      <c r="G21" s="13"/>
      <c r="H21" s="13">
        <f t="shared" si="4"/>
        <v>0</v>
      </c>
      <c r="I21" s="13">
        <f t="shared" si="4"/>
        <v>0</v>
      </c>
    </row>
    <row r="22" spans="1:9">
      <c r="A22" s="11"/>
      <c r="B22" s="12"/>
      <c r="C22" s="12"/>
      <c r="D22" s="13">
        <f t="shared" si="9"/>
        <v>0</v>
      </c>
      <c r="E22" s="13">
        <f t="shared" si="1"/>
        <v>0</v>
      </c>
      <c r="F22" s="13"/>
      <c r="G22" s="13"/>
      <c r="H22" s="13">
        <f t="shared" si="4"/>
        <v>0</v>
      </c>
      <c r="I22" s="13">
        <f t="shared" si="4"/>
        <v>0</v>
      </c>
    </row>
    <row r="23" spans="1:9">
      <c r="A23" s="11"/>
      <c r="B23" s="12"/>
      <c r="C23" s="12"/>
      <c r="D23" s="13">
        <f t="shared" si="9"/>
        <v>0</v>
      </c>
      <c r="E23" s="13">
        <f t="shared" si="1"/>
        <v>0</v>
      </c>
      <c r="F23" s="13"/>
      <c r="G23" s="13"/>
      <c r="H23" s="13">
        <f t="shared" si="4"/>
        <v>0</v>
      </c>
      <c r="I23" s="13">
        <f t="shared" si="4"/>
        <v>0</v>
      </c>
    </row>
    <row r="24" spans="1:9">
      <c r="A24" s="10"/>
      <c r="B24" s="12"/>
      <c r="C24" s="12"/>
      <c r="D24" s="13">
        <f t="shared" si="9"/>
        <v>0</v>
      </c>
      <c r="E24" s="13">
        <f t="shared" si="1"/>
        <v>0</v>
      </c>
      <c r="F24" s="13"/>
      <c r="G24" s="13"/>
      <c r="H24" s="13">
        <f t="shared" si="4"/>
        <v>0</v>
      </c>
      <c r="I24" s="13">
        <f t="shared" si="4"/>
        <v>0</v>
      </c>
    </row>
    <row r="25" spans="1:9">
      <c r="A25" s="11" t="s">
        <v>75</v>
      </c>
      <c r="B25" s="14">
        <f t="shared" ref="B25:I25" si="10">SUM(B8:B24)</f>
        <v>103353333.33333333</v>
      </c>
      <c r="C25" s="14">
        <f t="shared" si="10"/>
        <v>103353333.33333334</v>
      </c>
      <c r="D25" s="14">
        <f t="shared" si="10"/>
        <v>80186666.666666672</v>
      </c>
      <c r="E25" s="14">
        <f t="shared" si="10"/>
        <v>80186666.666666672</v>
      </c>
      <c r="F25" s="14">
        <f t="shared" si="10"/>
        <v>52020000</v>
      </c>
      <c r="G25" s="14">
        <f t="shared" si="10"/>
        <v>50060616.2464986</v>
      </c>
      <c r="H25" s="14">
        <f t="shared" si="10"/>
        <v>28166666.666666664</v>
      </c>
      <c r="I25" s="14">
        <f t="shared" si="10"/>
        <v>30126050.420168068</v>
      </c>
    </row>
    <row r="26" spans="1:9">
      <c r="A26" s="11" t="s">
        <v>76</v>
      </c>
      <c r="B26" s="15"/>
      <c r="C26" s="15"/>
      <c r="D26" s="15"/>
      <c r="E26" s="15"/>
      <c r="F26" s="15"/>
      <c r="G26" s="15">
        <f>+F25-G25</f>
        <v>1959383.7535014004</v>
      </c>
      <c r="H26" s="15">
        <f>+I25-H25</f>
        <v>1959383.7535014041</v>
      </c>
      <c r="I26" s="15"/>
    </row>
    <row r="27" spans="1:9">
      <c r="A27" s="11" t="s">
        <v>77</v>
      </c>
      <c r="B27" s="15">
        <f t="shared" ref="B27:I27" si="11">SUM(B25:B26)</f>
        <v>103353333.33333333</v>
      </c>
      <c r="C27" s="15">
        <f t="shared" si="11"/>
        <v>103353333.33333334</v>
      </c>
      <c r="D27" s="15">
        <f t="shared" si="11"/>
        <v>80186666.666666672</v>
      </c>
      <c r="E27" s="15">
        <f t="shared" si="11"/>
        <v>80186666.666666672</v>
      </c>
      <c r="F27" s="15">
        <f t="shared" si="11"/>
        <v>52020000</v>
      </c>
      <c r="G27" s="15">
        <f t="shared" si="11"/>
        <v>52020000</v>
      </c>
      <c r="H27" s="15">
        <f t="shared" si="11"/>
        <v>30126050.420168068</v>
      </c>
      <c r="I27" s="15">
        <f t="shared" si="11"/>
        <v>30126050.420168068</v>
      </c>
    </row>
    <row r="28" spans="1:9">
      <c r="C28" s="16">
        <f>+C27-B27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3:I82"/>
  <sheetViews>
    <sheetView topLeftCell="A49" zoomScale="172" zoomScaleNormal="172" workbookViewId="0">
      <selection activeCell="F51" sqref="F51"/>
    </sheetView>
  </sheetViews>
  <sheetFormatPr baseColWidth="10" defaultRowHeight="15"/>
  <cols>
    <col min="5" max="5" width="15.28515625" customWidth="1"/>
    <col min="6" max="6" width="12.42578125" bestFit="1" customWidth="1"/>
    <col min="8" max="9" width="12.42578125" bestFit="1" customWidth="1"/>
  </cols>
  <sheetData>
    <row r="3" spans="3:9">
      <c r="C3" t="s">
        <v>90</v>
      </c>
    </row>
    <row r="4" spans="3:9">
      <c r="C4" t="s">
        <v>94</v>
      </c>
    </row>
    <row r="5" spans="3:9">
      <c r="C5" t="s">
        <v>102</v>
      </c>
    </row>
    <row r="6" spans="3:9">
      <c r="C6" t="s">
        <v>91</v>
      </c>
      <c r="E6" s="12">
        <v>5000000</v>
      </c>
    </row>
    <row r="7" spans="3:9">
      <c r="C7" t="s">
        <v>92</v>
      </c>
      <c r="E7" s="12">
        <f>+E6*19%</f>
        <v>950000</v>
      </c>
    </row>
    <row r="8" spans="3:9">
      <c r="D8" t="s">
        <v>93</v>
      </c>
      <c r="F8" s="16">
        <f>+E6+E7</f>
        <v>5950000</v>
      </c>
    </row>
    <row r="9" spans="3:9">
      <c r="H9" s="17" t="s">
        <v>99</v>
      </c>
      <c r="I9" s="17"/>
    </row>
    <row r="10" spans="3:9">
      <c r="C10" t="s">
        <v>95</v>
      </c>
      <c r="E10" s="16">
        <f>+E6/6</f>
        <v>833333.33333333337</v>
      </c>
      <c r="H10" s="19">
        <f>+E6</f>
        <v>5000000</v>
      </c>
    </row>
    <row r="11" spans="3:9">
      <c r="D11" t="str">
        <f>+C6</f>
        <v>Seguro anticipado</v>
      </c>
      <c r="F11" s="16">
        <f>+E10</f>
        <v>833333.33333333337</v>
      </c>
      <c r="H11" s="18"/>
      <c r="I11" s="16">
        <f>+F11</f>
        <v>833333.33333333337</v>
      </c>
    </row>
    <row r="12" spans="3:9">
      <c r="C12" t="s">
        <v>96</v>
      </c>
      <c r="H12" s="18"/>
      <c r="I12" s="16">
        <f>+F15</f>
        <v>833333.33333333337</v>
      </c>
    </row>
    <row r="13" spans="3:9">
      <c r="H13" s="18"/>
      <c r="I13" s="16">
        <f>+F19</f>
        <v>833333.33333333337</v>
      </c>
    </row>
    <row r="14" spans="3:9">
      <c r="C14" t="s">
        <v>95</v>
      </c>
      <c r="E14" s="16">
        <f>+E10</f>
        <v>833333.33333333337</v>
      </c>
      <c r="H14" s="16">
        <f>SUM(H10:H13)</f>
        <v>5000000</v>
      </c>
      <c r="I14" s="16">
        <f>SUM(I10:I13)</f>
        <v>2500000</v>
      </c>
    </row>
    <row r="15" spans="3:9">
      <c r="D15" t="str">
        <f>+D11</f>
        <v>Seguro anticipado</v>
      </c>
      <c r="F15" s="16">
        <f>+E14</f>
        <v>833333.33333333337</v>
      </c>
      <c r="H15" s="16">
        <f>+H14-I14</f>
        <v>2500000</v>
      </c>
    </row>
    <row r="16" spans="3:9">
      <c r="C16" t="s">
        <v>97</v>
      </c>
    </row>
    <row r="17" spans="3:9">
      <c r="H17" s="17" t="s">
        <v>100</v>
      </c>
      <c r="I17" s="17"/>
    </row>
    <row r="18" spans="3:9">
      <c r="C18" t="s">
        <v>95</v>
      </c>
      <c r="E18" s="16">
        <f>+E14</f>
        <v>833333.33333333337</v>
      </c>
      <c r="H18" s="19">
        <f>+E10</f>
        <v>833333.33333333337</v>
      </c>
    </row>
    <row r="19" spans="3:9">
      <c r="D19" t="str">
        <f>+D11</f>
        <v>Seguro anticipado</v>
      </c>
      <c r="F19" s="16">
        <f>+E18</f>
        <v>833333.33333333337</v>
      </c>
      <c r="H19" s="20">
        <f>+E14</f>
        <v>833333.33333333337</v>
      </c>
      <c r="I19" s="16"/>
    </row>
    <row r="20" spans="3:9">
      <c r="C20" t="s">
        <v>98</v>
      </c>
      <c r="H20" s="20">
        <f>+E18</f>
        <v>833333.33333333337</v>
      </c>
      <c r="I20" s="16"/>
    </row>
    <row r="21" spans="3:9">
      <c r="H21" s="18"/>
      <c r="I21" s="16"/>
    </row>
    <row r="22" spans="3:9">
      <c r="H22" s="16">
        <f>SUM(H18:H21)</f>
        <v>2500000</v>
      </c>
      <c r="I22" s="16">
        <f>SUM(I18:I21)</f>
        <v>0</v>
      </c>
    </row>
    <row r="23" spans="3:9">
      <c r="H23" s="16">
        <f>+H22-I22</f>
        <v>2500000</v>
      </c>
    </row>
    <row r="25" spans="3:9">
      <c r="C25" t="s">
        <v>103</v>
      </c>
    </row>
    <row r="26" spans="3:9">
      <c r="C26" t="s">
        <v>95</v>
      </c>
      <c r="E26" s="16">
        <f>+E18</f>
        <v>833333.33333333337</v>
      </c>
    </row>
    <row r="27" spans="3:9">
      <c r="D27" t="str">
        <f>+D19</f>
        <v>Seguro anticipado</v>
      </c>
      <c r="F27" s="16">
        <f>+E26</f>
        <v>833333.33333333337</v>
      </c>
    </row>
    <row r="28" spans="3:9">
      <c r="C28" t="s">
        <v>104</v>
      </c>
    </row>
    <row r="30" spans="3:9">
      <c r="C30" t="s">
        <v>95</v>
      </c>
      <c r="E30" s="16">
        <f>+E26</f>
        <v>833333.33333333337</v>
      </c>
    </row>
    <row r="31" spans="3:9">
      <c r="D31" t="str">
        <f>+D27</f>
        <v>Seguro anticipado</v>
      </c>
      <c r="F31" s="16">
        <f>+E30</f>
        <v>833333.33333333337</v>
      </c>
    </row>
    <row r="32" spans="3:9">
      <c r="C32" t="s">
        <v>105</v>
      </c>
    </row>
    <row r="34" spans="3:6">
      <c r="C34" t="s">
        <v>95</v>
      </c>
      <c r="E34" s="16">
        <f>+E30</f>
        <v>833333.33333333337</v>
      </c>
    </row>
    <row r="35" spans="3:6">
      <c r="D35" t="str">
        <f>+D27</f>
        <v>Seguro anticipado</v>
      </c>
      <c r="F35" s="16">
        <f>+E34</f>
        <v>833333.33333333337</v>
      </c>
    </row>
    <row r="36" spans="3:6">
      <c r="C36" t="s">
        <v>106</v>
      </c>
    </row>
    <row r="39" spans="3:6">
      <c r="C39" t="s">
        <v>14</v>
      </c>
    </row>
    <row r="40" spans="3:6">
      <c r="D40" t="s">
        <v>20</v>
      </c>
      <c r="F40" s="1">
        <f>-H23</f>
        <v>-2500000</v>
      </c>
    </row>
    <row r="41" spans="3:6">
      <c r="D41" t="s">
        <v>21</v>
      </c>
    </row>
    <row r="42" spans="3:6">
      <c r="D42" t="s">
        <v>23</v>
      </c>
    </row>
    <row r="43" spans="3:6">
      <c r="D43" t="s">
        <v>101</v>
      </c>
      <c r="F43" s="1">
        <f>SUM(F40:F42)</f>
        <v>-2500000</v>
      </c>
    </row>
    <row r="44" spans="3:6">
      <c r="F44" s="1"/>
    </row>
    <row r="46" spans="3:6">
      <c r="C46" t="s">
        <v>32</v>
      </c>
    </row>
    <row r="48" spans="3:6">
      <c r="D48" t="s">
        <v>20</v>
      </c>
      <c r="F48" s="1">
        <f>-F27-F31-F35</f>
        <v>-2500000</v>
      </c>
    </row>
    <row r="49" spans="3:9">
      <c r="D49" t="s">
        <v>21</v>
      </c>
    </row>
    <row r="50" spans="3:9">
      <c r="D50" t="s">
        <v>23</v>
      </c>
    </row>
    <row r="51" spans="3:9">
      <c r="C51" t="s">
        <v>108</v>
      </c>
      <c r="D51" t="s">
        <v>107</v>
      </c>
      <c r="F51" s="1">
        <f>+F43*1.13</f>
        <v>-2824999.9999999995</v>
      </c>
    </row>
    <row r="52" spans="3:9">
      <c r="D52" t="s">
        <v>60</v>
      </c>
      <c r="F52" s="1">
        <f>SUM(F48:F51)</f>
        <v>-5325000</v>
      </c>
    </row>
    <row r="55" spans="3:9">
      <c r="C55" t="s">
        <v>55</v>
      </c>
    </row>
    <row r="56" spans="3:9">
      <c r="F56" t="s">
        <v>48</v>
      </c>
      <c r="G56" t="s">
        <v>61</v>
      </c>
      <c r="I56" t="s">
        <v>49</v>
      </c>
    </row>
    <row r="57" spans="3:9">
      <c r="D57" s="6" t="s">
        <v>44</v>
      </c>
      <c r="E57" s="6"/>
      <c r="F57" s="6"/>
      <c r="G57" s="6"/>
      <c r="H57" s="6"/>
      <c r="I57" s="6"/>
    </row>
    <row r="58" spans="3:9">
      <c r="D58" t="s">
        <v>45</v>
      </c>
      <c r="F58" s="1"/>
      <c r="I58" s="1">
        <f>+F58</f>
        <v>0</v>
      </c>
    </row>
    <row r="59" spans="3:9">
      <c r="D59" t="s">
        <v>41</v>
      </c>
      <c r="F59" s="1">
        <f>+F58</f>
        <v>0</v>
      </c>
      <c r="G59" s="1"/>
      <c r="H59" s="1"/>
      <c r="I59" s="1">
        <f t="shared" ref="I59" si="0">+I58</f>
        <v>0</v>
      </c>
    </row>
    <row r="60" spans="3:9">
      <c r="D60" s="6" t="s">
        <v>46</v>
      </c>
      <c r="E60" s="6"/>
      <c r="F60" s="6"/>
      <c r="G60" s="6"/>
      <c r="H60" s="6"/>
      <c r="I60" s="6"/>
    </row>
    <row r="61" spans="3:9">
      <c r="D61" t="s">
        <v>47</v>
      </c>
      <c r="G61" s="1"/>
      <c r="I61" s="1">
        <f>-G61</f>
        <v>0</v>
      </c>
    </row>
    <row r="62" spans="3:9">
      <c r="D62" t="s">
        <v>42</v>
      </c>
      <c r="F62" s="1">
        <f>-H22</f>
        <v>-2500000</v>
      </c>
      <c r="I62" s="1">
        <f>+F62</f>
        <v>-2500000</v>
      </c>
    </row>
    <row r="63" spans="3:9">
      <c r="D63" t="s">
        <v>43</v>
      </c>
      <c r="F63" s="1">
        <f>-G1</f>
        <v>0</v>
      </c>
    </row>
    <row r="64" spans="3:9">
      <c r="D64" t="s">
        <v>53</v>
      </c>
      <c r="F64" s="1">
        <f>SUM(F62:F63)</f>
        <v>-2500000</v>
      </c>
      <c r="G64" s="1"/>
      <c r="H64" s="1"/>
      <c r="I64" s="1">
        <f>SUM(I61:I63)</f>
        <v>-2500000</v>
      </c>
    </row>
    <row r="65" spans="4:9">
      <c r="F65" s="1"/>
    </row>
    <row r="66" spans="4:9">
      <c r="D66" s="7" t="s">
        <v>51</v>
      </c>
      <c r="E66" s="7"/>
      <c r="F66" s="8">
        <f>+F59+F64</f>
        <v>-2500000</v>
      </c>
      <c r="G66" s="7"/>
      <c r="H66" s="7" t="s">
        <v>54</v>
      </c>
      <c r="I66" s="8">
        <f>+I59+I64</f>
        <v>-2500000</v>
      </c>
    </row>
    <row r="68" spans="4:9">
      <c r="D68" t="s">
        <v>56</v>
      </c>
    </row>
    <row r="69" spans="4:9">
      <c r="F69" t="s">
        <v>48</v>
      </c>
      <c r="G69" t="s">
        <v>50</v>
      </c>
      <c r="I69" t="s">
        <v>49</v>
      </c>
    </row>
    <row r="70" spans="4:9">
      <c r="D70" s="6" t="s">
        <v>44</v>
      </c>
      <c r="E70" s="6"/>
      <c r="F70" s="6"/>
      <c r="G70" s="6"/>
      <c r="H70" s="6"/>
      <c r="I70" s="6"/>
    </row>
    <row r="71" spans="4:9">
      <c r="D71" t="s">
        <v>45</v>
      </c>
      <c r="F71" s="1">
        <f>+I18</f>
        <v>0</v>
      </c>
      <c r="I71" s="1">
        <f>+F71</f>
        <v>0</v>
      </c>
    </row>
    <row r="72" spans="4:9">
      <c r="D72" t="s">
        <v>57</v>
      </c>
      <c r="F72" s="1"/>
      <c r="I72" s="1">
        <f>+F72</f>
        <v>0</v>
      </c>
    </row>
    <row r="73" spans="4:9">
      <c r="D73" t="s">
        <v>41</v>
      </c>
      <c r="F73" s="1">
        <f>+F71+F72</f>
        <v>0</v>
      </c>
      <c r="G73" s="1"/>
      <c r="H73" s="1"/>
      <c r="I73" s="1">
        <f t="shared" ref="I73" si="1">+I71+I72</f>
        <v>0</v>
      </c>
    </row>
    <row r="74" spans="4:9">
      <c r="D74" s="6" t="s">
        <v>46</v>
      </c>
      <c r="E74" s="6"/>
      <c r="F74" s="6"/>
      <c r="G74" s="6"/>
      <c r="H74" s="6"/>
      <c r="I74" s="6"/>
    </row>
    <row r="75" spans="4:9">
      <c r="D75" t="s">
        <v>47</v>
      </c>
      <c r="G75" s="1"/>
      <c r="I75" s="1">
        <f>-G75</f>
        <v>0</v>
      </c>
    </row>
    <row r="76" spans="4:9">
      <c r="D76" t="s">
        <v>42</v>
      </c>
      <c r="F76" s="1">
        <f>+F62</f>
        <v>-2500000</v>
      </c>
      <c r="I76" s="1">
        <f>+F76</f>
        <v>-2500000</v>
      </c>
    </row>
    <row r="77" spans="4:9">
      <c r="D77" t="s">
        <v>58</v>
      </c>
      <c r="F77" s="1"/>
      <c r="G77" s="1">
        <f>+I66</f>
        <v>-2500000</v>
      </c>
      <c r="I77" s="1">
        <f>+G77</f>
        <v>-2500000</v>
      </c>
    </row>
    <row r="78" spans="4:9">
      <c r="D78" t="s">
        <v>59</v>
      </c>
      <c r="F78" s="1">
        <f>-G9</f>
        <v>0</v>
      </c>
    </row>
    <row r="79" spans="4:9">
      <c r="D79" t="s">
        <v>43</v>
      </c>
      <c r="F79" s="1">
        <f>-G5</f>
        <v>0</v>
      </c>
      <c r="I79" s="1"/>
    </row>
    <row r="80" spans="4:9">
      <c r="D80" t="s">
        <v>53</v>
      </c>
      <c r="F80" s="1">
        <f>SUM(F76:F79)</f>
        <v>-2500000</v>
      </c>
      <c r="G80" s="1"/>
      <c r="H80" s="1"/>
      <c r="I80" s="1">
        <f>SUM(I76:I79)</f>
        <v>-5000000</v>
      </c>
    </row>
    <row r="81" spans="4:9">
      <c r="F81" s="1"/>
    </row>
    <row r="82" spans="4:9">
      <c r="D82" s="7" t="s">
        <v>51</v>
      </c>
      <c r="E82" s="7"/>
      <c r="F82" s="8">
        <f>+F73+F80</f>
        <v>-2500000</v>
      </c>
      <c r="G82" s="7"/>
      <c r="H82" s="7" t="s">
        <v>54</v>
      </c>
      <c r="I82" s="8">
        <f>+I73+I80</f>
        <v>-5000000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3:I62"/>
  <sheetViews>
    <sheetView tabSelected="1" zoomScale="172" zoomScaleNormal="172" workbookViewId="0">
      <selection activeCell="C6" sqref="C6"/>
    </sheetView>
  </sheetViews>
  <sheetFormatPr baseColWidth="10" defaultRowHeight="15"/>
  <cols>
    <col min="5" max="5" width="15.28515625" customWidth="1"/>
    <col min="6" max="6" width="12.42578125" bestFit="1" customWidth="1"/>
    <col min="8" max="9" width="12.42578125" bestFit="1" customWidth="1"/>
  </cols>
  <sheetData>
    <row r="3" spans="3:9">
      <c r="C3" t="s">
        <v>90</v>
      </c>
    </row>
    <row r="4" spans="3:9">
      <c r="C4" t="s">
        <v>109</v>
      </c>
    </row>
    <row r="5" spans="3:9">
      <c r="C5" t="s">
        <v>102</v>
      </c>
    </row>
    <row r="6" spans="3:9">
      <c r="C6" t="s">
        <v>95</v>
      </c>
      <c r="E6" s="12">
        <v>5000000</v>
      </c>
    </row>
    <row r="7" spans="3:9">
      <c r="C7" t="s">
        <v>92</v>
      </c>
      <c r="E7" s="12">
        <f>+E6*19%</f>
        <v>950000</v>
      </c>
    </row>
    <row r="8" spans="3:9">
      <c r="D8" t="s">
        <v>93</v>
      </c>
      <c r="F8" s="16">
        <f>+E6+E7</f>
        <v>5950000</v>
      </c>
    </row>
    <row r="9" spans="3:9">
      <c r="H9" s="17" t="s">
        <v>95</v>
      </c>
      <c r="I9" s="17"/>
    </row>
    <row r="10" spans="3:9">
      <c r="E10" s="16"/>
      <c r="H10" s="19">
        <f>+E6</f>
        <v>5000000</v>
      </c>
    </row>
    <row r="11" spans="3:9">
      <c r="E11" s="16"/>
      <c r="H11" s="16">
        <f>SUM(H10:H10)</f>
        <v>5000000</v>
      </c>
      <c r="I11" s="16">
        <f>SUM(I10:I10)</f>
        <v>0</v>
      </c>
    </row>
    <row r="12" spans="3:9">
      <c r="F12" s="16"/>
      <c r="H12" s="16"/>
    </row>
    <row r="14" spans="3:9">
      <c r="C14" t="s">
        <v>103</v>
      </c>
    </row>
    <row r="15" spans="3:9">
      <c r="C15" t="s">
        <v>110</v>
      </c>
      <c r="E15" s="16"/>
    </row>
    <row r="16" spans="3:9">
      <c r="F16" s="16"/>
    </row>
    <row r="18" spans="3:7">
      <c r="C18" t="s">
        <v>14</v>
      </c>
    </row>
    <row r="19" spans="3:7">
      <c r="D19" t="s">
        <v>20</v>
      </c>
      <c r="F19" s="1">
        <f>-E6</f>
        <v>-5000000</v>
      </c>
    </row>
    <row r="20" spans="3:7">
      <c r="D20" t="s">
        <v>21</v>
      </c>
    </row>
    <row r="21" spans="3:7">
      <c r="C21" t="s">
        <v>112</v>
      </c>
      <c r="D21" t="s">
        <v>111</v>
      </c>
      <c r="F21" s="1">
        <f>2500000*1.03</f>
        <v>2575000</v>
      </c>
      <c r="G21" t="s">
        <v>113</v>
      </c>
    </row>
    <row r="22" spans="3:7">
      <c r="D22" t="s">
        <v>23</v>
      </c>
    </row>
    <row r="23" spans="3:7">
      <c r="D23" t="s">
        <v>101</v>
      </c>
      <c r="F23" s="1">
        <f>SUM(F19:F22)</f>
        <v>-2425000</v>
      </c>
    </row>
    <row r="24" spans="3:7">
      <c r="F24" s="1"/>
    </row>
    <row r="26" spans="3:7">
      <c r="C26" t="s">
        <v>32</v>
      </c>
    </row>
    <row r="28" spans="3:7">
      <c r="D28" t="s">
        <v>20</v>
      </c>
      <c r="F28" s="1"/>
    </row>
    <row r="29" spans="3:7">
      <c r="D29" t="s">
        <v>21</v>
      </c>
    </row>
    <row r="30" spans="3:7">
      <c r="D30" t="s">
        <v>23</v>
      </c>
    </row>
    <row r="31" spans="3:7">
      <c r="C31" t="s">
        <v>108</v>
      </c>
      <c r="D31" t="s">
        <v>107</v>
      </c>
      <c r="F31" s="1">
        <f>+F23*1.13</f>
        <v>-2740249.9999999995</v>
      </c>
    </row>
    <row r="32" spans="3:7">
      <c r="D32" t="s">
        <v>60</v>
      </c>
      <c r="F32" s="1">
        <f>SUM(F28:F31)</f>
        <v>-2740249.9999999995</v>
      </c>
    </row>
    <row r="35" spans="3:9">
      <c r="C35" t="s">
        <v>55</v>
      </c>
    </row>
    <row r="36" spans="3:9">
      <c r="F36" t="s">
        <v>48</v>
      </c>
      <c r="G36" t="s">
        <v>61</v>
      </c>
      <c r="I36" t="s">
        <v>49</v>
      </c>
    </row>
    <row r="37" spans="3:9">
      <c r="D37" s="6" t="s">
        <v>44</v>
      </c>
      <c r="E37" s="6"/>
      <c r="F37" s="6"/>
      <c r="G37" s="6"/>
      <c r="H37" s="6"/>
      <c r="I37" s="6"/>
    </row>
    <row r="38" spans="3:9">
      <c r="D38" t="s">
        <v>45</v>
      </c>
      <c r="F38" s="1"/>
      <c r="I38" s="1">
        <f>+F38</f>
        <v>0</v>
      </c>
    </row>
    <row r="39" spans="3:9">
      <c r="D39" t="s">
        <v>41</v>
      </c>
      <c r="F39" s="1">
        <f>+F38</f>
        <v>0</v>
      </c>
      <c r="G39" s="1"/>
      <c r="H39" s="1"/>
      <c r="I39" s="1">
        <f t="shared" ref="I39" si="0">+I38</f>
        <v>0</v>
      </c>
    </row>
    <row r="40" spans="3:9">
      <c r="D40" s="6" t="s">
        <v>46</v>
      </c>
      <c r="E40" s="6"/>
      <c r="F40" s="6"/>
      <c r="G40" s="6"/>
      <c r="H40" s="6"/>
      <c r="I40" s="6"/>
    </row>
    <row r="41" spans="3:9">
      <c r="G41" s="1"/>
      <c r="I41" s="1">
        <f>-G41</f>
        <v>0</v>
      </c>
    </row>
    <row r="42" spans="3:9">
      <c r="D42" t="s">
        <v>42</v>
      </c>
      <c r="F42" s="1">
        <f>+F19</f>
        <v>-5000000</v>
      </c>
      <c r="I42" s="21">
        <f>+F42</f>
        <v>-5000000</v>
      </c>
    </row>
    <row r="43" spans="3:9">
      <c r="D43" t="s">
        <v>43</v>
      </c>
      <c r="F43" s="1">
        <f>-G1</f>
        <v>0</v>
      </c>
    </row>
    <row r="44" spans="3:9">
      <c r="D44" t="s">
        <v>53</v>
      </c>
      <c r="F44" s="1">
        <f>SUM(F42:F43)</f>
        <v>-5000000</v>
      </c>
      <c r="G44" s="1"/>
      <c r="H44" s="1"/>
      <c r="I44" s="1">
        <f>SUM(I41:I43)</f>
        <v>-5000000</v>
      </c>
    </row>
    <row r="45" spans="3:9">
      <c r="F45" s="1"/>
    </row>
    <row r="46" spans="3:9">
      <c r="D46" s="7" t="s">
        <v>51</v>
      </c>
      <c r="E46" s="7"/>
      <c r="F46" s="8">
        <f>+F39+F44</f>
        <v>-5000000</v>
      </c>
      <c r="G46" s="7"/>
      <c r="H46" s="7" t="s">
        <v>54</v>
      </c>
      <c r="I46" s="8">
        <f>+I39+I44</f>
        <v>-5000000</v>
      </c>
    </row>
    <row r="48" spans="3:9">
      <c r="D48" t="s">
        <v>56</v>
      </c>
    </row>
    <row r="49" spans="4:9">
      <c r="F49" t="s">
        <v>48</v>
      </c>
      <c r="G49" t="s">
        <v>50</v>
      </c>
      <c r="I49" t="s">
        <v>49</v>
      </c>
    </row>
    <row r="50" spans="4:9">
      <c r="D50" s="6" t="s">
        <v>44</v>
      </c>
      <c r="E50" s="6"/>
      <c r="F50" s="6"/>
      <c r="G50" s="6"/>
      <c r="H50" s="6"/>
      <c r="I50" s="6"/>
    </row>
    <row r="51" spans="4:9">
      <c r="F51" s="1"/>
      <c r="I51" s="1">
        <f>+F51</f>
        <v>0</v>
      </c>
    </row>
    <row r="52" spans="4:9">
      <c r="F52" s="1"/>
      <c r="I52" s="1">
        <f>+F52</f>
        <v>0</v>
      </c>
    </row>
    <row r="53" spans="4:9">
      <c r="D53" t="s">
        <v>41</v>
      </c>
      <c r="F53" s="1">
        <f>+F51+F52</f>
        <v>0</v>
      </c>
      <c r="G53" s="1"/>
      <c r="H53" s="1"/>
      <c r="I53" s="1">
        <f t="shared" ref="I53" si="1">+I51+I52</f>
        <v>0</v>
      </c>
    </row>
    <row r="54" spans="4:9">
      <c r="D54" s="6" t="s">
        <v>46</v>
      </c>
      <c r="E54" s="6"/>
      <c r="F54" s="6"/>
      <c r="G54" s="6"/>
      <c r="H54" s="6"/>
      <c r="I54" s="6"/>
    </row>
    <row r="55" spans="4:9">
      <c r="D55" t="s">
        <v>47</v>
      </c>
      <c r="G55" s="1"/>
      <c r="I55" s="1">
        <f>-G55</f>
        <v>0</v>
      </c>
    </row>
    <row r="56" spans="4:9">
      <c r="D56" t="s">
        <v>42</v>
      </c>
      <c r="F56" s="1"/>
      <c r="I56" s="1">
        <f>+F56</f>
        <v>0</v>
      </c>
    </row>
    <row r="57" spans="4:9">
      <c r="D57" t="s">
        <v>58</v>
      </c>
      <c r="F57" s="1"/>
      <c r="G57" s="1">
        <f>+I46</f>
        <v>-5000000</v>
      </c>
      <c r="I57" s="1">
        <f>+G57</f>
        <v>-5000000</v>
      </c>
    </row>
    <row r="58" spans="4:9">
      <c r="D58" t="s">
        <v>59</v>
      </c>
      <c r="F58" s="1">
        <f>-G9</f>
        <v>0</v>
      </c>
    </row>
    <row r="59" spans="4:9">
      <c r="D59" t="s">
        <v>43</v>
      </c>
      <c r="F59" s="1">
        <f>-G5</f>
        <v>0</v>
      </c>
      <c r="I59" s="1"/>
    </row>
    <row r="60" spans="4:9">
      <c r="D60" t="s">
        <v>53</v>
      </c>
      <c r="F60" s="1">
        <f>SUM(F56:F59)</f>
        <v>0</v>
      </c>
      <c r="G60" s="1"/>
      <c r="H60" s="1"/>
      <c r="I60" s="1">
        <f>SUM(I56:I59)</f>
        <v>-5000000</v>
      </c>
    </row>
    <row r="61" spans="4:9">
      <c r="F61" s="1"/>
    </row>
    <row r="62" spans="4:9">
      <c r="D62" s="7" t="s">
        <v>51</v>
      </c>
      <c r="E62" s="7"/>
      <c r="F62" s="8">
        <f>+F53+F60</f>
        <v>0</v>
      </c>
      <c r="G62" s="7"/>
      <c r="H62" s="7" t="s">
        <v>54</v>
      </c>
      <c r="I62" s="8">
        <f>+I53+I60</f>
        <v>-5000000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alt a</vt:lpstr>
      <vt:lpstr>alt b</vt:lpstr>
      <vt:lpstr>BALANCE AÑO 1</vt:lpstr>
      <vt:lpstr>BALANCE AÑO 2</vt:lpstr>
      <vt:lpstr>gastos anticipados opcion uno</vt:lpstr>
      <vt:lpstr>gastos anticipados opcion2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</cp:lastModifiedBy>
  <dcterms:created xsi:type="dcterms:W3CDTF">2023-11-14T21:57:06Z</dcterms:created>
  <dcterms:modified xsi:type="dcterms:W3CDTF">2023-11-15T00:22:54Z</dcterms:modified>
</cp:coreProperties>
</file>