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ANTECEDENTES  " sheetId="85" r:id="rId1"/>
    <sheet name="BALANCE AÑO 2020" sheetId="86" r:id="rId2"/>
    <sheet name="BASE IMPONIBLE AT 2021" sheetId="87" r:id="rId3"/>
    <sheet name="R17 AT 2O21" sheetId="89" r:id="rId4"/>
    <sheet name="R19 at2021 " sheetId="88" r:id="rId5"/>
    <sheet name="BALANCE AÑO 2021" sheetId="78" r:id="rId6"/>
    <sheet name="BASE IMPONIBLE AT2022" sheetId="9" r:id="rId7"/>
    <sheet name="R17 AT2022" sheetId="38" r:id="rId8"/>
    <sheet name="R19 at22022" sheetId="90" r:id="rId9"/>
    <sheet name="BALANCE AÑO 2022" sheetId="91" r:id="rId10"/>
    <sheet name="BASE IMPONIBLE AT2023" sheetId="92" r:id="rId11"/>
    <sheet name="R17 AT2023" sheetId="93" r:id="rId12"/>
    <sheet name="R19 at22023" sheetId="94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\b" localSheetId="0">#REF!</definedName>
    <definedName name="\b" localSheetId="1">#REF!</definedName>
    <definedName name="\b" localSheetId="9">#REF!</definedName>
    <definedName name="\b" localSheetId="2">#REF!</definedName>
    <definedName name="\b" localSheetId="6">#REF!</definedName>
    <definedName name="\b" localSheetId="10">#REF!</definedName>
    <definedName name="\b" localSheetId="3">#REF!</definedName>
    <definedName name="\b" localSheetId="11">#REF!</definedName>
    <definedName name="\b" localSheetId="4">#REF!</definedName>
    <definedName name="\b" localSheetId="8">#REF!</definedName>
    <definedName name="\b" localSheetId="12">#REF!</definedName>
    <definedName name="\b">#REF!</definedName>
    <definedName name="\z" localSheetId="0">#REF!</definedName>
    <definedName name="\z" localSheetId="1">#REF!</definedName>
    <definedName name="\z" localSheetId="9">#REF!</definedName>
    <definedName name="\z" localSheetId="2">#REF!</definedName>
    <definedName name="\z" localSheetId="6">#REF!</definedName>
    <definedName name="\z" localSheetId="10">#REF!</definedName>
    <definedName name="\z" localSheetId="3">#REF!</definedName>
    <definedName name="\z" localSheetId="11">#REF!</definedName>
    <definedName name="\z" localSheetId="4">#REF!</definedName>
    <definedName name="\z" localSheetId="8">#REF!</definedName>
    <definedName name="\z" localSheetId="12">#REF!</definedName>
    <definedName name="\z">#REF!</definedName>
    <definedName name="aa" localSheetId="0">#REF!</definedName>
    <definedName name="aa" localSheetId="1">#REF!</definedName>
    <definedName name="aa" localSheetId="9">#REF!</definedName>
    <definedName name="aa" localSheetId="2">#REF!</definedName>
    <definedName name="aa" localSheetId="10">#REF!</definedName>
    <definedName name="aa" localSheetId="3">#REF!</definedName>
    <definedName name="aa" localSheetId="11">#REF!</definedName>
    <definedName name="aa" localSheetId="4">#REF!</definedName>
    <definedName name="aa" localSheetId="8">#REF!</definedName>
    <definedName name="aa" localSheetId="12">#REF!</definedName>
    <definedName name="aa">#REF!</definedName>
    <definedName name="aaa" localSheetId="0">#REF!</definedName>
    <definedName name="aaa" localSheetId="1">#REF!</definedName>
    <definedName name="aaa" localSheetId="9">#REF!</definedName>
    <definedName name="aaa" localSheetId="2">#REF!</definedName>
    <definedName name="aaa" localSheetId="10">#REF!</definedName>
    <definedName name="aaa" localSheetId="3">#REF!</definedName>
    <definedName name="aaa" localSheetId="11">#REF!</definedName>
    <definedName name="aaa" localSheetId="4">#REF!</definedName>
    <definedName name="aaa" localSheetId="8">#REF!</definedName>
    <definedName name="aaa" localSheetId="12">#REF!</definedName>
    <definedName name="aaa">#REF!</definedName>
    <definedName name="aaaa" localSheetId="0">#REF!</definedName>
    <definedName name="aaaa" localSheetId="1">#REF!</definedName>
    <definedName name="aaaa" localSheetId="9">#REF!</definedName>
    <definedName name="aaaa" localSheetId="2">#REF!</definedName>
    <definedName name="aaaa" localSheetId="10">#REF!</definedName>
    <definedName name="aaaa" localSheetId="3">#REF!</definedName>
    <definedName name="aaaa" localSheetId="11">#REF!</definedName>
    <definedName name="aaaa" localSheetId="4">#REF!</definedName>
    <definedName name="aaaa" localSheetId="8">#REF!</definedName>
    <definedName name="aaaa" localSheetId="12">#REF!</definedName>
    <definedName name="aaaa">#REF!</definedName>
    <definedName name="_xlnm.Print_Area" localSheetId="3">'R17 AT 2O21'!$C$2:$Q$46</definedName>
    <definedName name="_xlnm.Print_Area" localSheetId="7">'R17 AT2022'!$C$2:$Q$46</definedName>
    <definedName name="_xlnm.Print_Area" localSheetId="11">'R17 AT2023'!$C$2:$Q$46</definedName>
    <definedName name="_xlnm.Print_Area" localSheetId="4">'R19 at2021 '!$C$2:$Q$25</definedName>
    <definedName name="_xlnm.Print_Area" localSheetId="8">'R19 at22022'!$C$2:$Q$25</definedName>
    <definedName name="_xlnm.Print_Area" localSheetId="12">'R19 at22023'!$C$2:$Q$25</definedName>
    <definedName name="casa" localSheetId="0">#REF!</definedName>
    <definedName name="casa" localSheetId="1">#REF!</definedName>
    <definedName name="casa" localSheetId="9">#REF!</definedName>
    <definedName name="casa" localSheetId="2">#REF!</definedName>
    <definedName name="casa" localSheetId="10">#REF!</definedName>
    <definedName name="casa" localSheetId="3">#REF!</definedName>
    <definedName name="casa" localSheetId="11">#REF!</definedName>
    <definedName name="casa" localSheetId="4">#REF!</definedName>
    <definedName name="casa" localSheetId="8">#REF!</definedName>
    <definedName name="casa" localSheetId="12">#REF!</definedName>
    <definedName name="casa">#REF!</definedName>
    <definedName name="CBDDSDSGSE" localSheetId="0">#REF!</definedName>
    <definedName name="CBDDSDSGSE" localSheetId="1">#REF!</definedName>
    <definedName name="CBDDSDSGSE" localSheetId="9">#REF!</definedName>
    <definedName name="CBDDSDSGSE" localSheetId="2">#REF!</definedName>
    <definedName name="CBDDSDSGSE" localSheetId="6">#REF!</definedName>
    <definedName name="CBDDSDSGSE" localSheetId="10">#REF!</definedName>
    <definedName name="CBDDSDSGSE" localSheetId="3">#REF!</definedName>
    <definedName name="CBDDSDSGSE" localSheetId="11">#REF!</definedName>
    <definedName name="CBDDSDSGSE" localSheetId="4">#REF!</definedName>
    <definedName name="CBDDSDSGSE" localSheetId="8">#REF!</definedName>
    <definedName name="CBDDSDSGSE" localSheetId="12">#REF!</definedName>
    <definedName name="CBDDSDSGSE">#REF!</definedName>
    <definedName name="CC" localSheetId="0">#REF!</definedName>
    <definedName name="CC" localSheetId="1">#REF!</definedName>
    <definedName name="CC" localSheetId="9">#REF!</definedName>
    <definedName name="CC" localSheetId="2">#REF!</definedName>
    <definedName name="CC" localSheetId="6">#REF!</definedName>
    <definedName name="CC" localSheetId="10">#REF!</definedName>
    <definedName name="CC" localSheetId="3">#REF!</definedName>
    <definedName name="CC" localSheetId="11">#REF!</definedName>
    <definedName name="CC" localSheetId="4">#REF!</definedName>
    <definedName name="CC" localSheetId="8">#REF!</definedName>
    <definedName name="CC" localSheetId="12">#REF!</definedName>
    <definedName name="CC">#REF!</definedName>
    <definedName name="CCCC" localSheetId="0">[1]bien!#REF!</definedName>
    <definedName name="CCCC" localSheetId="1">[1]bien!#REF!</definedName>
    <definedName name="CCCC" localSheetId="9">[1]bien!#REF!</definedName>
    <definedName name="CCCC" localSheetId="2">[1]bien!#REF!</definedName>
    <definedName name="CCCC" localSheetId="6">[1]bien!#REF!</definedName>
    <definedName name="CCCC" localSheetId="10">[1]bien!#REF!</definedName>
    <definedName name="CCCC" localSheetId="3">[1]bien!#REF!</definedName>
    <definedName name="CCCC" localSheetId="11">[1]bien!#REF!</definedName>
    <definedName name="CCCC" localSheetId="4">[1]bien!#REF!</definedName>
    <definedName name="CCCC" localSheetId="8">[1]bien!#REF!</definedName>
    <definedName name="CCCC" localSheetId="12">[1]bien!#REF!</definedName>
    <definedName name="CCCC">[1]bien!#REF!</definedName>
    <definedName name="CCCCC" localSheetId="0">[1]bien!#REF!</definedName>
    <definedName name="CCCCC" localSheetId="9">[1]bien!#REF!</definedName>
    <definedName name="CCCCC" localSheetId="2">[1]bien!#REF!</definedName>
    <definedName name="CCCCC" localSheetId="6">[1]bien!#REF!</definedName>
    <definedName name="CCCCC" localSheetId="10">[1]bien!#REF!</definedName>
    <definedName name="CCCCC" localSheetId="3">[1]bien!#REF!</definedName>
    <definedName name="CCCCC" localSheetId="11">[1]bien!#REF!</definedName>
    <definedName name="CCCCC" localSheetId="4">[1]bien!#REF!</definedName>
    <definedName name="CCCCC" localSheetId="8">[1]bien!#REF!</definedName>
    <definedName name="CCCCC" localSheetId="12">[1]bien!#REF!</definedName>
    <definedName name="CCCCC">[1]bien!#REF!</definedName>
    <definedName name="CERTIFICADO" localSheetId="0">#REF!</definedName>
    <definedName name="CERTIFICADO" localSheetId="1">#REF!</definedName>
    <definedName name="CERTIFICADO" localSheetId="9">#REF!</definedName>
    <definedName name="CERTIFICADO" localSheetId="2">#REF!</definedName>
    <definedName name="CERTIFICADO" localSheetId="10">#REF!</definedName>
    <definedName name="CERTIFICADO" localSheetId="3">#REF!</definedName>
    <definedName name="CERTIFICADO" localSheetId="11">#REF!</definedName>
    <definedName name="CERTIFICADO" localSheetId="4">#REF!</definedName>
    <definedName name="CERTIFICADO" localSheetId="8">#REF!</definedName>
    <definedName name="CERTIFICADO" localSheetId="12">#REF!</definedName>
    <definedName name="CERTIFICADO">#REF!</definedName>
    <definedName name="DD" localSheetId="0">#REF!</definedName>
    <definedName name="DD" localSheetId="1">#REF!</definedName>
    <definedName name="DD" localSheetId="9">#REF!</definedName>
    <definedName name="DD" localSheetId="2">#REF!</definedName>
    <definedName name="DD" localSheetId="6">#REF!</definedName>
    <definedName name="DD" localSheetId="10">#REF!</definedName>
    <definedName name="DD" localSheetId="3">#REF!</definedName>
    <definedName name="DD" localSheetId="11">#REF!</definedName>
    <definedName name="DD" localSheetId="4">#REF!</definedName>
    <definedName name="DD" localSheetId="8">#REF!</definedName>
    <definedName name="DD" localSheetId="12">#REF!</definedName>
    <definedName name="DD">#REF!</definedName>
    <definedName name="DFF" localSheetId="0">#REF!</definedName>
    <definedName name="DFF" localSheetId="1">#REF!</definedName>
    <definedName name="DFF" localSheetId="9">#REF!</definedName>
    <definedName name="DFF" localSheetId="2">#REF!</definedName>
    <definedName name="DFF" localSheetId="6">#REF!</definedName>
    <definedName name="DFF" localSheetId="10">#REF!</definedName>
    <definedName name="DFF" localSheetId="3">#REF!</definedName>
    <definedName name="DFF" localSheetId="11">#REF!</definedName>
    <definedName name="DFF" localSheetId="4">#REF!</definedName>
    <definedName name="DFF" localSheetId="8">#REF!</definedName>
    <definedName name="DFF" localSheetId="12">#REF!</definedName>
    <definedName name="DFF">#REF!</definedName>
    <definedName name="DFFFD" localSheetId="0">#REF!</definedName>
    <definedName name="DFFFD" localSheetId="1">#REF!</definedName>
    <definedName name="DFFFD" localSheetId="9">#REF!</definedName>
    <definedName name="DFFFD" localSheetId="2">#REF!</definedName>
    <definedName name="DFFFD" localSheetId="6">#REF!</definedName>
    <definedName name="DFFFD" localSheetId="10">#REF!</definedName>
    <definedName name="DFFFD" localSheetId="3">#REF!</definedName>
    <definedName name="DFFFD" localSheetId="11">#REF!</definedName>
    <definedName name="DFFFD" localSheetId="4">#REF!</definedName>
    <definedName name="DFFFD" localSheetId="8">#REF!</definedName>
    <definedName name="DFFFD" localSheetId="12">#REF!</definedName>
    <definedName name="DFFFD">#REF!</definedName>
    <definedName name="DOS" localSheetId="0">#REF!</definedName>
    <definedName name="DOS" localSheetId="1">#REF!</definedName>
    <definedName name="DOS" localSheetId="9">#REF!</definedName>
    <definedName name="DOS" localSheetId="2">#REF!</definedName>
    <definedName name="DOS" localSheetId="6">#REF!</definedName>
    <definedName name="DOS" localSheetId="10">#REF!</definedName>
    <definedName name="DOS" localSheetId="3">#REF!</definedName>
    <definedName name="DOS" localSheetId="11">#REF!</definedName>
    <definedName name="DOS" localSheetId="4">#REF!</definedName>
    <definedName name="DOS" localSheetId="8">#REF!</definedName>
    <definedName name="DOS" localSheetId="12">#REF!</definedName>
    <definedName name="DOS">#REF!</definedName>
    <definedName name="EDEE" localSheetId="0">#REF!</definedName>
    <definedName name="EDEE" localSheetId="1">#REF!</definedName>
    <definedName name="EDEE" localSheetId="9">#REF!</definedName>
    <definedName name="EDEE" localSheetId="2">#REF!</definedName>
    <definedName name="EDEE" localSheetId="6">#REF!</definedName>
    <definedName name="EDEE" localSheetId="10">#REF!</definedName>
    <definedName name="EDEE" localSheetId="3">#REF!</definedName>
    <definedName name="EDEE" localSheetId="11">#REF!</definedName>
    <definedName name="EDEE" localSheetId="4">#REF!</definedName>
    <definedName name="EDEE" localSheetId="8">#REF!</definedName>
    <definedName name="EDEE" localSheetId="12">#REF!</definedName>
    <definedName name="EDEE">#REF!</definedName>
    <definedName name="Excel_BuiltIn_Print_Area_2_1" localSheetId="0">#REF!</definedName>
    <definedName name="Excel_BuiltIn_Print_Area_2_1" localSheetId="1">#REF!</definedName>
    <definedName name="Excel_BuiltIn_Print_Area_2_1" localSheetId="9">#REF!</definedName>
    <definedName name="Excel_BuiltIn_Print_Area_2_1" localSheetId="2">#REF!</definedName>
    <definedName name="Excel_BuiltIn_Print_Area_2_1" localSheetId="6">#REF!</definedName>
    <definedName name="Excel_BuiltIn_Print_Area_2_1" localSheetId="10">#REF!</definedName>
    <definedName name="Excel_BuiltIn_Print_Area_2_1" localSheetId="3">#REF!</definedName>
    <definedName name="Excel_BuiltIn_Print_Area_2_1" localSheetId="11">#REF!</definedName>
    <definedName name="Excel_BuiltIn_Print_Area_2_1" localSheetId="4">#REF!</definedName>
    <definedName name="Excel_BuiltIn_Print_Area_2_1" localSheetId="8">#REF!</definedName>
    <definedName name="Excel_BuiltIn_Print_Area_2_1" localSheetId="12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">[1]bien!#REF!</definedName>
    <definedName name="fecha_act" localSheetId="9">[1]bien!#REF!</definedName>
    <definedName name="fecha_act" localSheetId="2">[1]bien!#REF!</definedName>
    <definedName name="fecha_act" localSheetId="6">[1]bien!#REF!</definedName>
    <definedName name="fecha_act" localSheetId="10">[1]bien!#REF!</definedName>
    <definedName name="fecha_act" localSheetId="3">[1]bien!#REF!</definedName>
    <definedName name="fecha_act" localSheetId="11">[1]bien!#REF!</definedName>
    <definedName name="fecha_act" localSheetId="4">[1]bien!#REF!</definedName>
    <definedName name="fecha_act" localSheetId="8">[1]bien!#REF!</definedName>
    <definedName name="fecha_act" localSheetId="12">[1]bien!#REF!</definedName>
    <definedName name="fecha_act">[1]bien!#REF!</definedName>
    <definedName name="FF" localSheetId="0">#REF!</definedName>
    <definedName name="FF" localSheetId="1">#REF!</definedName>
    <definedName name="FF" localSheetId="9">#REF!</definedName>
    <definedName name="FF" localSheetId="2">#REF!</definedName>
    <definedName name="FF" localSheetId="6">#REF!</definedName>
    <definedName name="FF" localSheetId="10">#REF!</definedName>
    <definedName name="FF" localSheetId="3">#REF!</definedName>
    <definedName name="FF" localSheetId="11">#REF!</definedName>
    <definedName name="FF" localSheetId="4">#REF!</definedName>
    <definedName name="FF" localSheetId="8">#REF!</definedName>
    <definedName name="FF" localSheetId="12">#REF!</definedName>
    <definedName name="FF">#REF!</definedName>
    <definedName name="FFF" localSheetId="0">#REF!</definedName>
    <definedName name="FFF" localSheetId="1">#REF!</definedName>
    <definedName name="FFF" localSheetId="9">#REF!</definedName>
    <definedName name="FFF" localSheetId="2">#REF!</definedName>
    <definedName name="FFF" localSheetId="6">#REF!</definedName>
    <definedName name="FFF" localSheetId="10">#REF!</definedName>
    <definedName name="FFF" localSheetId="3">#REF!</definedName>
    <definedName name="FFF" localSheetId="11">#REF!</definedName>
    <definedName name="FFF" localSheetId="4">#REF!</definedName>
    <definedName name="FFF" localSheetId="8">#REF!</definedName>
    <definedName name="FFF" localSheetId="12">#REF!</definedName>
    <definedName name="FFF">#REF!</definedName>
    <definedName name="FFFF" localSheetId="0">[1]bien!#REF!</definedName>
    <definedName name="FFFF" localSheetId="1">[1]bien!#REF!</definedName>
    <definedName name="FFFF" localSheetId="9">[1]bien!#REF!</definedName>
    <definedName name="FFFF" localSheetId="2">[1]bien!#REF!</definedName>
    <definedName name="FFFF" localSheetId="6">[1]bien!#REF!</definedName>
    <definedName name="FFFF" localSheetId="10">[1]bien!#REF!</definedName>
    <definedName name="FFFF" localSheetId="3">[1]bien!#REF!</definedName>
    <definedName name="FFFF" localSheetId="11">[1]bien!#REF!</definedName>
    <definedName name="FFFF" localSheetId="4">[1]bien!#REF!</definedName>
    <definedName name="FFFF" localSheetId="8">[1]bien!#REF!</definedName>
    <definedName name="FFFF" localSheetId="12">[1]bien!#REF!</definedName>
    <definedName name="FFFF">[1]bien!#REF!</definedName>
    <definedName name="g" localSheetId="0">#REF!</definedName>
    <definedName name="g" localSheetId="1">#REF!</definedName>
    <definedName name="g" localSheetId="9">#REF!</definedName>
    <definedName name="g" localSheetId="2">#REF!</definedName>
    <definedName name="g" localSheetId="10">#REF!</definedName>
    <definedName name="g" localSheetId="3">#REF!</definedName>
    <definedName name="g" localSheetId="11">#REF!</definedName>
    <definedName name="g" localSheetId="4">#REF!</definedName>
    <definedName name="g" localSheetId="8">#REF!</definedName>
    <definedName name="g" localSheetId="12">#REF!</definedName>
    <definedName name="g">#REF!</definedName>
    <definedName name="GVKey">""</definedName>
    <definedName name="HGHHH" localSheetId="0">#REF!</definedName>
    <definedName name="HGHHH" localSheetId="1">#REF!</definedName>
    <definedName name="HGHHH" localSheetId="9">#REF!</definedName>
    <definedName name="HGHHH" localSheetId="2">#REF!</definedName>
    <definedName name="HGHHH" localSheetId="6">#REF!</definedName>
    <definedName name="HGHHH" localSheetId="10">#REF!</definedName>
    <definedName name="HGHHH" localSheetId="3">#REF!</definedName>
    <definedName name="HGHHH" localSheetId="11">#REF!</definedName>
    <definedName name="HGHHH" localSheetId="4">#REF!</definedName>
    <definedName name="HGHHH" localSheetId="8">#REF!</definedName>
    <definedName name="HGHHH" localSheetId="12">#REF!</definedName>
    <definedName name="HGHHH">#REF!</definedName>
    <definedName name="HHHH" localSheetId="0">#REF!</definedName>
    <definedName name="HHHH" localSheetId="1">#REF!</definedName>
    <definedName name="HHHH" localSheetId="9">#REF!</definedName>
    <definedName name="HHHH" localSheetId="2">#REF!</definedName>
    <definedName name="HHHH" localSheetId="6">#REF!</definedName>
    <definedName name="HHHH" localSheetId="10">#REF!</definedName>
    <definedName name="HHHH" localSheetId="3">#REF!</definedName>
    <definedName name="HHHH" localSheetId="11">#REF!</definedName>
    <definedName name="HHHH" localSheetId="4">#REF!</definedName>
    <definedName name="HHHH" localSheetId="8">#REF!</definedName>
    <definedName name="HHHH" localSheetId="12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">#REF!</definedName>
    <definedName name="INVERSION" localSheetId="9">#REF!</definedName>
    <definedName name="INVERSION" localSheetId="2">#REF!</definedName>
    <definedName name="INVERSION" localSheetId="6">#REF!</definedName>
    <definedName name="INVERSION" localSheetId="10">#REF!</definedName>
    <definedName name="INVERSION" localSheetId="3">#REF!</definedName>
    <definedName name="INVERSION" localSheetId="7">#REF!</definedName>
    <definedName name="INVERSION" localSheetId="11">#REF!</definedName>
    <definedName name="INVERSION" localSheetId="4">#REF!</definedName>
    <definedName name="INVERSION" localSheetId="8">#REF!</definedName>
    <definedName name="INVERSION" localSheetId="12">#REF!</definedName>
    <definedName name="INVERSION">#REF!</definedName>
    <definedName name="ipc">'[1]calculos planilla'!$P$3:$Q$146</definedName>
    <definedName name="matriz" localSheetId="0">#REF!</definedName>
    <definedName name="matriz" localSheetId="1">#REF!</definedName>
    <definedName name="matriz" localSheetId="9">#REF!</definedName>
    <definedName name="matriz" localSheetId="2">#REF!</definedName>
    <definedName name="matriz" localSheetId="6">#REF!</definedName>
    <definedName name="matriz" localSheetId="10">#REF!</definedName>
    <definedName name="matriz" localSheetId="3">#REF!</definedName>
    <definedName name="matriz" localSheetId="11">#REF!</definedName>
    <definedName name="matriz" localSheetId="4">#REF!</definedName>
    <definedName name="matriz" localSheetId="8">#REF!</definedName>
    <definedName name="matriz" localSheetId="12">#REF!</definedName>
    <definedName name="matriz">#REF!</definedName>
    <definedName name="matriz2" localSheetId="0">#REF!</definedName>
    <definedName name="matriz2" localSheetId="1">#REF!</definedName>
    <definedName name="matriz2" localSheetId="9">#REF!</definedName>
    <definedName name="matriz2" localSheetId="2">#REF!</definedName>
    <definedName name="matriz2" localSheetId="6">#REF!</definedName>
    <definedName name="matriz2" localSheetId="10">#REF!</definedName>
    <definedName name="matriz2" localSheetId="3">#REF!</definedName>
    <definedName name="matriz2" localSheetId="11">#REF!</definedName>
    <definedName name="matriz2" localSheetId="4">#REF!</definedName>
    <definedName name="matriz2" localSheetId="8">#REF!</definedName>
    <definedName name="matriz2" localSheetId="12">#REF!</definedName>
    <definedName name="matriz2">#REF!</definedName>
    <definedName name="mmm" localSheetId="0">#REF!</definedName>
    <definedName name="mmm" localSheetId="1">#REF!</definedName>
    <definedName name="mmm" localSheetId="9">#REF!</definedName>
    <definedName name="mmm" localSheetId="2">#REF!</definedName>
    <definedName name="mmm" localSheetId="10">#REF!</definedName>
    <definedName name="mmm" localSheetId="3">#REF!</definedName>
    <definedName name="mmm" localSheetId="11">#REF!</definedName>
    <definedName name="mmm" localSheetId="4">#REF!</definedName>
    <definedName name="mmm" localSheetId="8">#REF!</definedName>
    <definedName name="mmm" localSheetId="12">#REF!</definedName>
    <definedName name="mmm">#REF!</definedName>
    <definedName name="operacion" localSheetId="0">#REF!</definedName>
    <definedName name="operacion" localSheetId="1">#REF!</definedName>
    <definedName name="operacion" localSheetId="9">#REF!</definedName>
    <definedName name="operacion" localSheetId="2">#REF!</definedName>
    <definedName name="operacion" localSheetId="6">#REF!</definedName>
    <definedName name="operacion" localSheetId="10">#REF!</definedName>
    <definedName name="operacion" localSheetId="3">#REF!</definedName>
    <definedName name="operacion" localSheetId="7">#REF!</definedName>
    <definedName name="operacion" localSheetId="11">#REF!</definedName>
    <definedName name="operacion" localSheetId="4">#REF!</definedName>
    <definedName name="operacion" localSheetId="8">#REF!</definedName>
    <definedName name="operacion" localSheetId="12">#REF!</definedName>
    <definedName name="operacion">#REF!</definedName>
    <definedName name="OPERACION1" localSheetId="0">#REF!</definedName>
    <definedName name="OPERACION1" localSheetId="1">#REF!</definedName>
    <definedName name="OPERACION1" localSheetId="9">#REF!</definedName>
    <definedName name="OPERACION1" localSheetId="2">#REF!</definedName>
    <definedName name="OPERACION1" localSheetId="6">#REF!</definedName>
    <definedName name="OPERACION1" localSheetId="10">#REF!</definedName>
    <definedName name="OPERACION1" localSheetId="3">#REF!</definedName>
    <definedName name="OPERACION1" localSheetId="7">#REF!</definedName>
    <definedName name="OPERACION1" localSheetId="11">#REF!</definedName>
    <definedName name="OPERACION1" localSheetId="4">#REF!</definedName>
    <definedName name="OPERACION1" localSheetId="8">#REF!</definedName>
    <definedName name="OPERACION1" localSheetId="12">#REF!</definedName>
    <definedName name="OPERACION1">#REF!</definedName>
    <definedName name="operacion4" localSheetId="0">#REF!</definedName>
    <definedName name="operacion4" localSheetId="1">#REF!</definedName>
    <definedName name="operacion4" localSheetId="9">#REF!</definedName>
    <definedName name="operacion4" localSheetId="2">#REF!</definedName>
    <definedName name="operacion4" localSheetId="10">#REF!</definedName>
    <definedName name="operacion4" localSheetId="3">#REF!</definedName>
    <definedName name="operacion4" localSheetId="11">#REF!</definedName>
    <definedName name="operacion4" localSheetId="4">#REF!</definedName>
    <definedName name="operacion4" localSheetId="8">#REF!</definedName>
    <definedName name="operacion4" localSheetId="12">#REF!</definedName>
    <definedName name="operacion4">#REF!</definedName>
    <definedName name="ORDENADO" localSheetId="0">#REF!</definedName>
    <definedName name="ORDENADO" localSheetId="1">#REF!</definedName>
    <definedName name="ORDENADO" localSheetId="9">#REF!</definedName>
    <definedName name="ORDENADO" localSheetId="2">#REF!</definedName>
    <definedName name="ORDENADO" localSheetId="6">#REF!</definedName>
    <definedName name="ORDENADO" localSheetId="10">#REF!</definedName>
    <definedName name="ORDENADO" localSheetId="3">#REF!</definedName>
    <definedName name="ORDENADO" localSheetId="11">#REF!</definedName>
    <definedName name="ORDENADO" localSheetId="4">#REF!</definedName>
    <definedName name="ORDENADO" localSheetId="8">#REF!</definedName>
    <definedName name="ORDENADO" localSheetId="12">#REF!</definedName>
    <definedName name="ORDENADO">#REF!</definedName>
    <definedName name="pert" localSheetId="0">#REF!</definedName>
    <definedName name="pert" localSheetId="1">#REF!</definedName>
    <definedName name="pert" localSheetId="9">#REF!</definedName>
    <definedName name="pert" localSheetId="2">#REF!</definedName>
    <definedName name="pert" localSheetId="10">#REF!</definedName>
    <definedName name="pert" localSheetId="3">#REF!</definedName>
    <definedName name="pert" localSheetId="11">#REF!</definedName>
    <definedName name="pert" localSheetId="4">#REF!</definedName>
    <definedName name="pert" localSheetId="8">#REF!</definedName>
    <definedName name="pert" localSheetId="12">#REF!</definedName>
    <definedName name="pert">#REF!</definedName>
    <definedName name="RRRR" localSheetId="0">#REF!</definedName>
    <definedName name="RRRR" localSheetId="1">#REF!</definedName>
    <definedName name="RRRR" localSheetId="9">#REF!</definedName>
    <definedName name="RRRR" localSheetId="2">#REF!</definedName>
    <definedName name="RRRR" localSheetId="6">#REF!</definedName>
    <definedName name="RRRR" localSheetId="10">#REF!</definedName>
    <definedName name="RRRR" localSheetId="3">#REF!</definedName>
    <definedName name="RRRR" localSheetId="11">#REF!</definedName>
    <definedName name="RRRR" localSheetId="4">#REF!</definedName>
    <definedName name="RRRR" localSheetId="8">#REF!</definedName>
    <definedName name="RRRR" localSheetId="12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">#REF!</definedName>
    <definedName name="SRDF" localSheetId="9">#REF!</definedName>
    <definedName name="SRDF" localSheetId="2">#REF!</definedName>
    <definedName name="SRDF" localSheetId="6">#REF!</definedName>
    <definedName name="SRDF" localSheetId="10">#REF!</definedName>
    <definedName name="SRDF" localSheetId="3">#REF!</definedName>
    <definedName name="SRDF" localSheetId="11">#REF!</definedName>
    <definedName name="SRDF" localSheetId="4">#REF!</definedName>
    <definedName name="SRDF" localSheetId="8">#REF!</definedName>
    <definedName name="SRDF" localSheetId="12">#REF!</definedName>
    <definedName name="SRDF">#REF!</definedName>
    <definedName name="ssss" localSheetId="0">#REF!</definedName>
    <definedName name="ssss" localSheetId="1">#REF!</definedName>
    <definedName name="ssss" localSheetId="9">#REF!</definedName>
    <definedName name="ssss" localSheetId="2">#REF!</definedName>
    <definedName name="ssss" localSheetId="10">#REF!</definedName>
    <definedName name="ssss" localSheetId="3">#REF!</definedName>
    <definedName name="ssss" localSheetId="11">#REF!</definedName>
    <definedName name="ssss" localSheetId="4">#REF!</definedName>
    <definedName name="ssss" localSheetId="8">#REF!</definedName>
    <definedName name="ssss" localSheetId="12">#REF!</definedName>
    <definedName name="ssss">#REF!</definedName>
    <definedName name="TABLAS" localSheetId="0">#REF!</definedName>
    <definedName name="TABLAS" localSheetId="1">#REF!</definedName>
    <definedName name="TABLAS" localSheetId="9">#REF!</definedName>
    <definedName name="TABLAS" localSheetId="2">#REF!</definedName>
    <definedName name="TABLAS" localSheetId="6">#REF!</definedName>
    <definedName name="TABLAS" localSheetId="10">#REF!</definedName>
    <definedName name="TABLAS" localSheetId="3">#REF!</definedName>
    <definedName name="TABLAS" localSheetId="11">#REF!</definedName>
    <definedName name="TABLAS" localSheetId="4">#REF!</definedName>
    <definedName name="TABLAS" localSheetId="8">#REF!</definedName>
    <definedName name="TABLAS" localSheetId="12">#REF!</definedName>
    <definedName name="TABLAS">#REF!</definedName>
    <definedName name="TTTT" localSheetId="0">#REF!</definedName>
    <definedName name="TTTT" localSheetId="1">#REF!</definedName>
    <definedName name="TTTT" localSheetId="9">#REF!</definedName>
    <definedName name="TTTT" localSheetId="2">#REF!</definedName>
    <definedName name="TTTT" localSheetId="6">#REF!</definedName>
    <definedName name="TTTT" localSheetId="10">#REF!</definedName>
    <definedName name="TTTT" localSheetId="3">#REF!</definedName>
    <definedName name="TTTT" localSheetId="11">#REF!</definedName>
    <definedName name="TTTT" localSheetId="4">#REF!</definedName>
    <definedName name="TTTT" localSheetId="8">#REF!</definedName>
    <definedName name="TTTT" localSheetId="12">#REF!</definedName>
    <definedName name="TTTT">#REF!</definedName>
    <definedName name="v" localSheetId="0">'[2]Registrar '!$A$2:$B$182</definedName>
    <definedName name="v" localSheetId="2">'[3]Registrar '!$A$2:$B$182</definedName>
    <definedName name="v" localSheetId="6">'[3]Registrar '!$A$2:$B$182</definedName>
    <definedName name="v" localSheetId="10">'[3]Registrar '!$A$2:$B$182</definedName>
    <definedName name="v">'[4]Registrar '!$A$2:$B$182</definedName>
    <definedName name="VFGDGDS" localSheetId="0">#REF!</definedName>
    <definedName name="VFGDGDS" localSheetId="1">#REF!</definedName>
    <definedName name="VFGDGDS" localSheetId="9">#REF!</definedName>
    <definedName name="VFGDGDS" localSheetId="2">#REF!</definedName>
    <definedName name="VFGDGDS" localSheetId="6">#REF!</definedName>
    <definedName name="VFGDGDS" localSheetId="10">#REF!</definedName>
    <definedName name="VFGDGDS" localSheetId="3">#REF!</definedName>
    <definedName name="VFGDGDS" localSheetId="11">#REF!</definedName>
    <definedName name="VFGDGDS" localSheetId="4">#REF!</definedName>
    <definedName name="VFGDGDS" localSheetId="8">#REF!</definedName>
    <definedName name="VFGDGDS" localSheetId="12">#REF!</definedName>
    <definedName name="VFGDGDS">#REF!</definedName>
    <definedName name="Vutil">[1]bien!$G$17</definedName>
    <definedName name="XX" localSheetId="0">#REF!</definedName>
    <definedName name="XX" localSheetId="1">#REF!</definedName>
    <definedName name="XX" localSheetId="9">#REF!</definedName>
    <definedName name="XX" localSheetId="2">#REF!</definedName>
    <definedName name="XX" localSheetId="6">#REF!</definedName>
    <definedName name="XX" localSheetId="10">#REF!</definedName>
    <definedName name="XX" localSheetId="3">#REF!</definedName>
    <definedName name="XX" localSheetId="11">#REF!</definedName>
    <definedName name="XX" localSheetId="4">#REF!</definedName>
    <definedName name="XX" localSheetId="8">#REF!</definedName>
    <definedName name="XX" localSheetId="12">#REF!</definedName>
    <definedName name="XX">#REF!</definedName>
    <definedName name="XXX" localSheetId="0">#REF!</definedName>
    <definedName name="XXX" localSheetId="1">#REF!</definedName>
    <definedName name="XXX" localSheetId="9">#REF!</definedName>
    <definedName name="XXX" localSheetId="2">#REF!</definedName>
    <definedName name="XXX" localSheetId="6">#REF!</definedName>
    <definedName name="XXX" localSheetId="10">#REF!</definedName>
    <definedName name="XXX" localSheetId="3">#REF!</definedName>
    <definedName name="XXX" localSheetId="11">#REF!</definedName>
    <definedName name="XXX" localSheetId="4">#REF!</definedName>
    <definedName name="XXX" localSheetId="8">#REF!</definedName>
    <definedName name="XXX" localSheetId="12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89" l="1"/>
  <c r="G28" i="87"/>
  <c r="D94" i="87"/>
  <c r="F28" i="87"/>
  <c r="D90" i="87"/>
  <c r="D89" i="87"/>
  <c r="D91" i="87" l="1"/>
  <c r="D95" i="87" l="1"/>
  <c r="L60" i="86" l="1"/>
  <c r="G13" i="85"/>
  <c r="L35" i="86"/>
  <c r="L34" i="86"/>
  <c r="F19" i="85"/>
  <c r="N21" i="86"/>
  <c r="M20" i="86"/>
  <c r="M19" i="86"/>
  <c r="M18" i="86"/>
  <c r="L32" i="93" l="1"/>
  <c r="L15" i="93"/>
  <c r="L16" i="93"/>
  <c r="L17" i="93"/>
  <c r="L18" i="93"/>
  <c r="L19" i="93"/>
  <c r="L20" i="93"/>
  <c r="L21" i="93"/>
  <c r="L22" i="93"/>
  <c r="L23" i="93"/>
  <c r="L24" i="93"/>
  <c r="L25" i="93"/>
  <c r="L26" i="93"/>
  <c r="L27" i="93"/>
  <c r="L28" i="93"/>
  <c r="L29" i="93"/>
  <c r="L30" i="93"/>
  <c r="L31" i="93"/>
  <c r="L33" i="93"/>
  <c r="L14" i="93"/>
  <c r="L10" i="93"/>
  <c r="L9" i="93"/>
  <c r="L5" i="93"/>
  <c r="L41" i="93"/>
  <c r="L38" i="93"/>
  <c r="L12" i="93"/>
  <c r="L11" i="93"/>
  <c r="L8" i="93"/>
  <c r="L7" i="93"/>
  <c r="L6" i="93"/>
  <c r="L13" i="93"/>
  <c r="D7" i="91"/>
  <c r="C7" i="91"/>
  <c r="F50" i="92"/>
  <c r="E50" i="92"/>
  <c r="E36" i="92"/>
  <c r="G36" i="92" s="1"/>
  <c r="F36" i="92"/>
  <c r="F35" i="92"/>
  <c r="F33" i="92"/>
  <c r="D56" i="92"/>
  <c r="D50" i="92"/>
  <c r="D36" i="92"/>
  <c r="D19" i="92"/>
  <c r="G77" i="92"/>
  <c r="G78" i="92" s="1"/>
  <c r="G54" i="92"/>
  <c r="G53" i="92"/>
  <c r="G51" i="92"/>
  <c r="G49" i="92"/>
  <c r="G48" i="92"/>
  <c r="G47" i="92"/>
  <c r="G46" i="92"/>
  <c r="G45" i="92"/>
  <c r="G44" i="92"/>
  <c r="G43" i="92"/>
  <c r="G42" i="92"/>
  <c r="G41" i="92"/>
  <c r="G40" i="92"/>
  <c r="G39" i="92"/>
  <c r="G38" i="92"/>
  <c r="G37" i="92"/>
  <c r="G34" i="92"/>
  <c r="G33" i="92"/>
  <c r="G32" i="92"/>
  <c r="G31" i="92"/>
  <c r="G30" i="92"/>
  <c r="G26" i="92"/>
  <c r="G25" i="92"/>
  <c r="G24" i="92"/>
  <c r="G23" i="92"/>
  <c r="G22" i="92"/>
  <c r="G21" i="92"/>
  <c r="G20" i="92"/>
  <c r="G19" i="92"/>
  <c r="G17" i="92"/>
  <c r="G15" i="92" s="1"/>
  <c r="G16" i="92"/>
  <c r="F15" i="92"/>
  <c r="E15" i="92"/>
  <c r="F12" i="92"/>
  <c r="E12" i="92"/>
  <c r="G11" i="92"/>
  <c r="G10" i="92"/>
  <c r="G8" i="92"/>
  <c r="G7" i="92"/>
  <c r="F5" i="92"/>
  <c r="D6" i="91"/>
  <c r="D19" i="91"/>
  <c r="C6" i="91"/>
  <c r="C8" i="91"/>
  <c r="F19" i="91"/>
  <c r="H19" i="91" s="1"/>
  <c r="C30" i="91"/>
  <c r="E30" i="91" s="1"/>
  <c r="I30" i="91" s="1"/>
  <c r="D18" i="91"/>
  <c r="E18" i="91" s="1"/>
  <c r="G18" i="91" s="1"/>
  <c r="C17" i="91"/>
  <c r="D17" i="91"/>
  <c r="D9" i="91"/>
  <c r="C10" i="91"/>
  <c r="D10" i="91" s="1"/>
  <c r="C9" i="91"/>
  <c r="D15" i="91"/>
  <c r="C13" i="91"/>
  <c r="D14" i="91"/>
  <c r="C26" i="91"/>
  <c r="D11" i="91"/>
  <c r="D12" i="91"/>
  <c r="D13" i="91"/>
  <c r="D16" i="91"/>
  <c r="E16" i="91" s="1"/>
  <c r="G16" i="91" s="1"/>
  <c r="D20" i="91"/>
  <c r="D23" i="91"/>
  <c r="D24" i="91"/>
  <c r="D27" i="91"/>
  <c r="C31" i="91"/>
  <c r="C11" i="91"/>
  <c r="C12" i="91"/>
  <c r="C14" i="91"/>
  <c r="C15" i="91"/>
  <c r="C20" i="91"/>
  <c r="C22" i="91"/>
  <c r="C23" i="91"/>
  <c r="C24" i="91"/>
  <c r="F29" i="91"/>
  <c r="J29" i="91" s="1"/>
  <c r="E32" i="91"/>
  <c r="I32" i="91" s="1"/>
  <c r="F32" i="91"/>
  <c r="J32" i="91" s="1"/>
  <c r="E33" i="91"/>
  <c r="I33" i="91" s="1"/>
  <c r="F33" i="91"/>
  <c r="J33" i="91" s="1"/>
  <c r="F28" i="91"/>
  <c r="J28" i="91" s="1"/>
  <c r="E28" i="91"/>
  <c r="I28" i="91" s="1"/>
  <c r="U24" i="90"/>
  <c r="F50" i="9"/>
  <c r="D13" i="9"/>
  <c r="D6" i="9"/>
  <c r="L17" i="88"/>
  <c r="L11" i="88"/>
  <c r="L38" i="89"/>
  <c r="L32" i="89"/>
  <c r="L30" i="89"/>
  <c r="L15" i="89"/>
  <c r="L16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6" i="89"/>
  <c r="E35" i="86"/>
  <c r="F35" i="86"/>
  <c r="J35" i="86" s="1"/>
  <c r="I35" i="86"/>
  <c r="E36" i="86"/>
  <c r="F36" i="86"/>
  <c r="J36" i="86" s="1"/>
  <c r="I36" i="86"/>
  <c r="E37" i="86"/>
  <c r="F37" i="86"/>
  <c r="J37" i="86" s="1"/>
  <c r="I37" i="86"/>
  <c r="E38" i="86"/>
  <c r="F38" i="86"/>
  <c r="J38" i="86" s="1"/>
  <c r="I38" i="86"/>
  <c r="E39" i="86"/>
  <c r="F39" i="86"/>
  <c r="J39" i="86" s="1"/>
  <c r="I39" i="86"/>
  <c r="E40" i="86"/>
  <c r="F40" i="86"/>
  <c r="J40" i="86" s="1"/>
  <c r="I40" i="86"/>
  <c r="E41" i="86"/>
  <c r="F41" i="86"/>
  <c r="J41" i="86" s="1"/>
  <c r="I41" i="86"/>
  <c r="E42" i="86"/>
  <c r="F42" i="86"/>
  <c r="J42" i="86" s="1"/>
  <c r="I42" i="86"/>
  <c r="E43" i="86"/>
  <c r="F43" i="86"/>
  <c r="J43" i="86" s="1"/>
  <c r="I43" i="86"/>
  <c r="E44" i="86"/>
  <c r="F44" i="86"/>
  <c r="J44" i="86" s="1"/>
  <c r="I44" i="86"/>
  <c r="E45" i="86"/>
  <c r="F45" i="86"/>
  <c r="J45" i="86" s="1"/>
  <c r="I45" i="86"/>
  <c r="E46" i="86"/>
  <c r="F46" i="86"/>
  <c r="J46" i="86" s="1"/>
  <c r="I46" i="86"/>
  <c r="E47" i="86"/>
  <c r="F47" i="86"/>
  <c r="J47" i="86" s="1"/>
  <c r="I47" i="86"/>
  <c r="E48" i="86"/>
  <c r="F48" i="86"/>
  <c r="J48" i="86" s="1"/>
  <c r="I48" i="86"/>
  <c r="E49" i="86"/>
  <c r="F49" i="86"/>
  <c r="J49" i="86" s="1"/>
  <c r="I49" i="86"/>
  <c r="E50" i="86"/>
  <c r="F50" i="86"/>
  <c r="J50" i="86" s="1"/>
  <c r="I50" i="86"/>
  <c r="E51" i="86"/>
  <c r="F51" i="86"/>
  <c r="J51" i="86" s="1"/>
  <c r="I51" i="86"/>
  <c r="E52" i="86"/>
  <c r="F52" i="86"/>
  <c r="J52" i="86" s="1"/>
  <c r="I52" i="86"/>
  <c r="E53" i="86"/>
  <c r="F53" i="86"/>
  <c r="J53" i="86" s="1"/>
  <c r="I53" i="86"/>
  <c r="E54" i="86"/>
  <c r="F54" i="86"/>
  <c r="J54" i="86" s="1"/>
  <c r="I54" i="86"/>
  <c r="E55" i="86"/>
  <c r="F55" i="86"/>
  <c r="J55" i="86" s="1"/>
  <c r="I55" i="86"/>
  <c r="E56" i="86"/>
  <c r="F56" i="86"/>
  <c r="J56" i="86" s="1"/>
  <c r="I56" i="86"/>
  <c r="E57" i="86"/>
  <c r="F57" i="86"/>
  <c r="J57" i="86" s="1"/>
  <c r="I57" i="86"/>
  <c r="E58" i="86"/>
  <c r="F58" i="86"/>
  <c r="J58" i="86" s="1"/>
  <c r="I58" i="86"/>
  <c r="E59" i="86"/>
  <c r="F59" i="86"/>
  <c r="J59" i="86" s="1"/>
  <c r="I59" i="86"/>
  <c r="E60" i="86"/>
  <c r="F60" i="86"/>
  <c r="J60" i="86" s="1"/>
  <c r="I60" i="86"/>
  <c r="E61" i="86"/>
  <c r="F61" i="86"/>
  <c r="J61" i="86" s="1"/>
  <c r="I61" i="86"/>
  <c r="E62" i="86"/>
  <c r="F62" i="86"/>
  <c r="J62" i="86" s="1"/>
  <c r="I62" i="86"/>
  <c r="E63" i="86"/>
  <c r="F63" i="86"/>
  <c r="J63" i="86" s="1"/>
  <c r="I63" i="86"/>
  <c r="I34" i="86"/>
  <c r="F34" i="86"/>
  <c r="J34" i="86" s="1"/>
  <c r="E34" i="86"/>
  <c r="E6" i="86"/>
  <c r="F6" i="86"/>
  <c r="H6" i="86" s="1"/>
  <c r="G6" i="86"/>
  <c r="E7" i="86"/>
  <c r="F7" i="86"/>
  <c r="H7" i="86" s="1"/>
  <c r="G7" i="86"/>
  <c r="E8" i="86"/>
  <c r="F8" i="86"/>
  <c r="H8" i="86" s="1"/>
  <c r="G8" i="86"/>
  <c r="E9" i="86"/>
  <c r="F9" i="86"/>
  <c r="H9" i="86" s="1"/>
  <c r="G9" i="86"/>
  <c r="E10" i="86"/>
  <c r="F10" i="86"/>
  <c r="H10" i="86" s="1"/>
  <c r="G10" i="86"/>
  <c r="E11" i="86"/>
  <c r="F11" i="86"/>
  <c r="H11" i="86" s="1"/>
  <c r="G11" i="86"/>
  <c r="E12" i="86"/>
  <c r="F12" i="86"/>
  <c r="H12" i="86" s="1"/>
  <c r="G12" i="86"/>
  <c r="E13" i="86"/>
  <c r="F13" i="86"/>
  <c r="H13" i="86" s="1"/>
  <c r="G13" i="86"/>
  <c r="E14" i="86"/>
  <c r="F14" i="86"/>
  <c r="H14" i="86" s="1"/>
  <c r="G14" i="86"/>
  <c r="E15" i="86"/>
  <c r="F15" i="86"/>
  <c r="H15" i="86" s="1"/>
  <c r="G15" i="86"/>
  <c r="E16" i="86"/>
  <c r="F16" i="86"/>
  <c r="H16" i="86" s="1"/>
  <c r="G16" i="86"/>
  <c r="E17" i="86"/>
  <c r="F17" i="86"/>
  <c r="H17" i="86" s="1"/>
  <c r="G17" i="86"/>
  <c r="E18" i="86"/>
  <c r="F18" i="86"/>
  <c r="H18" i="86" s="1"/>
  <c r="G18" i="86"/>
  <c r="E19" i="86"/>
  <c r="F19" i="86"/>
  <c r="H19" i="86" s="1"/>
  <c r="G19" i="86"/>
  <c r="E20" i="86"/>
  <c r="F20" i="86"/>
  <c r="H20" i="86" s="1"/>
  <c r="G20" i="86"/>
  <c r="E21" i="86"/>
  <c r="F21" i="86"/>
  <c r="H21" i="86" s="1"/>
  <c r="E49" i="87" s="1"/>
  <c r="G21" i="86"/>
  <c r="E22" i="86"/>
  <c r="F22" i="86"/>
  <c r="H22" i="86" s="1"/>
  <c r="G22" i="86"/>
  <c r="E23" i="86"/>
  <c r="F23" i="86"/>
  <c r="H23" i="86" s="1"/>
  <c r="G23" i="86"/>
  <c r="E24" i="86"/>
  <c r="F24" i="86"/>
  <c r="H24" i="86" s="1"/>
  <c r="G24" i="86"/>
  <c r="E25" i="86"/>
  <c r="F25" i="86"/>
  <c r="H25" i="86" s="1"/>
  <c r="G25" i="86"/>
  <c r="E26" i="86"/>
  <c r="F26" i="86"/>
  <c r="H26" i="86" s="1"/>
  <c r="G26" i="86"/>
  <c r="E27" i="86"/>
  <c r="F27" i="86"/>
  <c r="H27" i="86" s="1"/>
  <c r="G27" i="86"/>
  <c r="E28" i="86"/>
  <c r="F28" i="86"/>
  <c r="H28" i="86" s="1"/>
  <c r="G28" i="86"/>
  <c r="E29" i="86"/>
  <c r="F29" i="86"/>
  <c r="H29" i="86" s="1"/>
  <c r="G29" i="86"/>
  <c r="E30" i="86"/>
  <c r="F30" i="86"/>
  <c r="H30" i="86" s="1"/>
  <c r="G30" i="86"/>
  <c r="E31" i="86"/>
  <c r="F31" i="86"/>
  <c r="H31" i="86" s="1"/>
  <c r="G31" i="86"/>
  <c r="E32" i="86"/>
  <c r="F32" i="86"/>
  <c r="H32" i="86" s="1"/>
  <c r="G32" i="86"/>
  <c r="E33" i="86"/>
  <c r="F33" i="86"/>
  <c r="H33" i="86" s="1"/>
  <c r="G33" i="86"/>
  <c r="H5" i="86"/>
  <c r="G5" i="86"/>
  <c r="F5" i="86"/>
  <c r="E5" i="86"/>
  <c r="L4" i="88"/>
  <c r="D13" i="87"/>
  <c r="D6" i="87"/>
  <c r="L41" i="89"/>
  <c r="L40" i="89"/>
  <c r="L11" i="89"/>
  <c r="L8" i="89"/>
  <c r="L7" i="89"/>
  <c r="L6" i="89"/>
  <c r="F49" i="87"/>
  <c r="F37" i="87"/>
  <c r="F31" i="87"/>
  <c r="F7" i="91" l="1"/>
  <c r="H7" i="91" s="1"/>
  <c r="D6" i="92"/>
  <c r="D13" i="92"/>
  <c r="G13" i="92" s="1"/>
  <c r="G12" i="92" s="1"/>
  <c r="D5" i="92"/>
  <c r="G50" i="92"/>
  <c r="D62" i="92"/>
  <c r="G64" i="92"/>
  <c r="D85" i="92" s="1"/>
  <c r="D15" i="92"/>
  <c r="G35" i="92"/>
  <c r="F30" i="91"/>
  <c r="J30" i="91" s="1"/>
  <c r="E19" i="91"/>
  <c r="G19" i="91" s="1"/>
  <c r="E9" i="91"/>
  <c r="G9" i="91" s="1"/>
  <c r="F11" i="91"/>
  <c r="H11" i="91" s="1"/>
  <c r="E15" i="91"/>
  <c r="G15" i="91" s="1"/>
  <c r="E13" i="91"/>
  <c r="G13" i="91" s="1"/>
  <c r="E24" i="91"/>
  <c r="G24" i="91" s="1"/>
  <c r="E12" i="91"/>
  <c r="G12" i="91" s="1"/>
  <c r="E7" i="91"/>
  <c r="G7" i="91" s="1"/>
  <c r="E6" i="92" s="1"/>
  <c r="E5" i="92" s="1"/>
  <c r="F21" i="91"/>
  <c r="H21" i="91" s="1"/>
  <c r="F22" i="91"/>
  <c r="H22" i="91" s="1"/>
  <c r="E10" i="91"/>
  <c r="G10" i="91" s="1"/>
  <c r="F12" i="91"/>
  <c r="H12" i="91" s="1"/>
  <c r="D26" i="91"/>
  <c r="C25" i="91" s="1"/>
  <c r="E21" i="91"/>
  <c r="G21" i="91" s="1"/>
  <c r="C27" i="91"/>
  <c r="D25" i="91" s="1"/>
  <c r="F13" i="91"/>
  <c r="H13" i="91" s="1"/>
  <c r="E22" i="91"/>
  <c r="G22" i="91" s="1"/>
  <c r="F17" i="91"/>
  <c r="H17" i="91" s="1"/>
  <c r="F18" i="91"/>
  <c r="H18" i="91" s="1"/>
  <c r="F24" i="91"/>
  <c r="H24" i="91" s="1"/>
  <c r="F23" i="91"/>
  <c r="H23" i="91" s="1"/>
  <c r="F20" i="91"/>
  <c r="H20" i="91" s="1"/>
  <c r="F10" i="91"/>
  <c r="H10" i="91" s="1"/>
  <c r="E14" i="91"/>
  <c r="G14" i="91" s="1"/>
  <c r="F16" i="91"/>
  <c r="H16" i="91" s="1"/>
  <c r="F14" i="91"/>
  <c r="H14" i="91" s="1"/>
  <c r="F9" i="91"/>
  <c r="H9" i="91" s="1"/>
  <c r="F31" i="91"/>
  <c r="J31" i="91" s="1"/>
  <c r="J34" i="91" s="1"/>
  <c r="E31" i="91"/>
  <c r="I31" i="91" s="1"/>
  <c r="E23" i="91"/>
  <c r="G23" i="91" s="1"/>
  <c r="E11" i="91"/>
  <c r="G11" i="91" s="1"/>
  <c r="E8" i="91"/>
  <c r="G8" i="91" s="1"/>
  <c r="F15" i="91"/>
  <c r="H15" i="91" s="1"/>
  <c r="E20" i="91"/>
  <c r="G20" i="91" s="1"/>
  <c r="E17" i="91"/>
  <c r="G17" i="91" s="1"/>
  <c r="F8" i="91"/>
  <c r="H8" i="91" s="1"/>
  <c r="E29" i="91"/>
  <c r="I29" i="91" s="1"/>
  <c r="D12" i="92" l="1"/>
  <c r="G6" i="92"/>
  <c r="G5" i="92" s="1"/>
  <c r="G29" i="92" s="1"/>
  <c r="D29" i="92"/>
  <c r="D63" i="92" s="1"/>
  <c r="E25" i="91"/>
  <c r="G25" i="91" s="1"/>
  <c r="C34" i="91"/>
  <c r="C36" i="91" s="1"/>
  <c r="F26" i="91"/>
  <c r="H26" i="91" s="1"/>
  <c r="F27" i="91"/>
  <c r="H27" i="91" s="1"/>
  <c r="E27" i="91"/>
  <c r="G27" i="91" s="1"/>
  <c r="F25" i="91"/>
  <c r="H25" i="91" s="1"/>
  <c r="E26" i="91"/>
  <c r="G26" i="91" s="1"/>
  <c r="I34" i="91"/>
  <c r="J36" i="91" s="1"/>
  <c r="I35" i="91" l="1"/>
  <c r="I36" i="91" s="1"/>
  <c r="E35" i="87" l="1"/>
  <c r="F33" i="87"/>
  <c r="F32" i="87"/>
  <c r="D57" i="87"/>
  <c r="D56" i="87"/>
  <c r="D55" i="87"/>
  <c r="D49" i="87"/>
  <c r="G49" i="87" s="1"/>
  <c r="D47" i="87"/>
  <c r="D36" i="87"/>
  <c r="D35" i="87"/>
  <c r="D19" i="87"/>
  <c r="D17" i="87"/>
  <c r="E50" i="9" l="1"/>
  <c r="K15" i="78"/>
  <c r="D19" i="9" l="1"/>
  <c r="D17" i="9"/>
  <c r="F33" i="9"/>
  <c r="D58" i="9"/>
  <c r="D85" i="87"/>
  <c r="D86" i="87" s="1"/>
  <c r="G66" i="87" s="1"/>
  <c r="G33" i="87"/>
  <c r="G53" i="87"/>
  <c r="G52" i="87"/>
  <c r="G51" i="87"/>
  <c r="G50" i="87"/>
  <c r="G50" i="9"/>
  <c r="G48" i="87"/>
  <c r="G47" i="87"/>
  <c r="G46" i="87"/>
  <c r="G45" i="87"/>
  <c r="H44" i="87"/>
  <c r="H45" i="87" s="1"/>
  <c r="H46" i="87" s="1"/>
  <c r="G44" i="87"/>
  <c r="G43" i="87"/>
  <c r="G42" i="87"/>
  <c r="G41" i="87"/>
  <c r="G40" i="87"/>
  <c r="G39" i="87"/>
  <c r="G38" i="87"/>
  <c r="G37" i="87"/>
  <c r="G36" i="87"/>
  <c r="F35" i="9"/>
  <c r="G35" i="9" s="1"/>
  <c r="G34" i="87"/>
  <c r="G32" i="87"/>
  <c r="G31" i="87"/>
  <c r="G30" i="87"/>
  <c r="L14" i="89" s="1"/>
  <c r="G26" i="87"/>
  <c r="G25" i="87"/>
  <c r="G24" i="87"/>
  <c r="G23" i="87"/>
  <c r="G22" i="87"/>
  <c r="G21" i="87"/>
  <c r="G20" i="87"/>
  <c r="G19" i="87"/>
  <c r="G18" i="87"/>
  <c r="G17" i="87"/>
  <c r="F15" i="87"/>
  <c r="E15" i="87"/>
  <c r="G13" i="87"/>
  <c r="G12" i="87" s="1"/>
  <c r="L9" i="89" s="1"/>
  <c r="F12" i="87"/>
  <c r="E12" i="87"/>
  <c r="D12" i="87"/>
  <c r="G11" i="87"/>
  <c r="F10" i="87"/>
  <c r="G10" i="87" s="1"/>
  <c r="G9" i="87"/>
  <c r="G7" i="87"/>
  <c r="G6" i="87"/>
  <c r="L5" i="89" s="1"/>
  <c r="F5" i="87"/>
  <c r="E5" i="87"/>
  <c r="J64" i="86"/>
  <c r="J66" i="86" s="1"/>
  <c r="I66" i="86" s="1"/>
  <c r="G64" i="86"/>
  <c r="C64" i="86"/>
  <c r="C66" i="86" s="1"/>
  <c r="E64" i="86"/>
  <c r="E66" i="86" s="1"/>
  <c r="C58" i="86"/>
  <c r="D19" i="86"/>
  <c r="D18" i="86"/>
  <c r="I57" i="78"/>
  <c r="E57" i="78"/>
  <c r="I58" i="78"/>
  <c r="C57" i="78"/>
  <c r="I59" i="78"/>
  <c r="E59" i="78"/>
  <c r="G76" i="87" l="1"/>
  <c r="G77" i="87" s="1"/>
  <c r="G5" i="87"/>
  <c r="L13" i="89"/>
  <c r="G63" i="87"/>
  <c r="G15" i="87"/>
  <c r="L10" i="89" s="1"/>
  <c r="D61" i="87"/>
  <c r="D5" i="87"/>
  <c r="G35" i="87"/>
  <c r="D15" i="87"/>
  <c r="F64" i="86"/>
  <c r="F66" i="86" s="1"/>
  <c r="H64" i="86"/>
  <c r="H65" i="86" s="1"/>
  <c r="I65" i="86" s="1"/>
  <c r="I64" i="86"/>
  <c r="D64" i="86"/>
  <c r="D66" i="86" s="1"/>
  <c r="G66" i="86"/>
  <c r="G61" i="87" l="1"/>
  <c r="G29" i="87"/>
  <c r="D29" i="87"/>
  <c r="D62" i="87" s="1"/>
  <c r="H66" i="86"/>
  <c r="G64" i="87" l="1"/>
  <c r="F64" i="78"/>
  <c r="D62" i="78"/>
  <c r="D64" i="78" s="1"/>
  <c r="E62" i="78"/>
  <c r="E64" i="78" s="1"/>
  <c r="F62" i="78"/>
  <c r="G62" i="78"/>
  <c r="H62" i="78"/>
  <c r="G63" i="78" s="1"/>
  <c r="G64" i="78" s="1"/>
  <c r="I62" i="78"/>
  <c r="J63" i="78" s="1"/>
  <c r="J64" i="78" s="1"/>
  <c r="J62" i="78"/>
  <c r="G6" i="78"/>
  <c r="E6" i="78"/>
  <c r="D6" i="78"/>
  <c r="C62" i="78"/>
  <c r="C64" i="78" s="1"/>
  <c r="D19" i="78"/>
  <c r="G68" i="87" l="1"/>
  <c r="F52" i="9" s="1"/>
  <c r="L10" i="88"/>
  <c r="I64" i="78"/>
  <c r="H64" i="78"/>
  <c r="D66" i="78"/>
  <c r="E36" i="9"/>
  <c r="E35" i="9"/>
  <c r="D50" i="9"/>
  <c r="D56" i="9"/>
  <c r="D36" i="9"/>
  <c r="D35" i="9"/>
  <c r="G19" i="9"/>
  <c r="D18" i="9"/>
  <c r="G6" i="9"/>
  <c r="U25" i="88" l="1"/>
  <c r="L24" i="88"/>
  <c r="G38" i="9"/>
  <c r="G37" i="9"/>
  <c r="G34" i="9"/>
  <c r="G33" i="9"/>
  <c r="G32" i="9"/>
  <c r="G31" i="9"/>
  <c r="G30" i="9"/>
  <c r="G26" i="9"/>
  <c r="G25" i="9"/>
  <c r="G24" i="9"/>
  <c r="G23" i="9"/>
  <c r="G22" i="9"/>
  <c r="G21" i="9"/>
  <c r="G20" i="9"/>
  <c r="G17" i="9"/>
  <c r="G16" i="9"/>
  <c r="G13" i="9"/>
  <c r="G11" i="9"/>
  <c r="G10" i="9"/>
  <c r="G7" i="9"/>
  <c r="G8" i="9"/>
  <c r="U24" i="88" l="1"/>
  <c r="L4" i="90"/>
  <c r="G36" i="9"/>
  <c r="G39" i="9" l="1"/>
  <c r="G40" i="9"/>
  <c r="G41" i="9"/>
  <c r="G42" i="9"/>
  <c r="G43" i="9"/>
  <c r="G44" i="9"/>
  <c r="G45" i="9"/>
  <c r="G46" i="9"/>
  <c r="G47" i="9"/>
  <c r="G48" i="9"/>
  <c r="G49" i="9"/>
  <c r="G51" i="9"/>
  <c r="G52" i="9"/>
  <c r="L37" i="89" s="1"/>
  <c r="L39" i="89" s="1"/>
  <c r="L42" i="89" s="1"/>
  <c r="L46" i="89" s="1"/>
  <c r="G53" i="9"/>
  <c r="G54" i="9"/>
  <c r="L34" i="38" l="1"/>
  <c r="L11" i="90" s="1"/>
  <c r="D12" i="9" l="1"/>
  <c r="G77" i="9" l="1"/>
  <c r="G78" i="9" l="1"/>
  <c r="G64" i="9"/>
  <c r="D85" i="9" s="1"/>
  <c r="L32" i="38"/>
  <c r="L30" i="38"/>
  <c r="D15" i="9"/>
  <c r="D5" i="9" l="1"/>
  <c r="D29" i="9" s="1"/>
  <c r="D62" i="9" l="1"/>
  <c r="D63" i="9" s="1"/>
  <c r="L38" i="38"/>
  <c r="G15" i="9"/>
  <c r="L41" i="38"/>
  <c r="L36" i="38"/>
  <c r="L35" i="38"/>
  <c r="L33" i="38"/>
  <c r="L31" i="38"/>
  <c r="L29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14" i="38"/>
  <c r="E15" i="9"/>
  <c r="F15" i="9"/>
  <c r="L12" i="38"/>
  <c r="L11" i="38"/>
  <c r="L7" i="38"/>
  <c r="L8" i="38"/>
  <c r="L6" i="38"/>
  <c r="L37" i="38" l="1"/>
  <c r="L10" i="38" l="1"/>
  <c r="G12" i="9"/>
  <c r="L9" i="38" s="1"/>
  <c r="G62" i="9"/>
  <c r="F5" i="9"/>
  <c r="G5" i="9" l="1"/>
  <c r="E5" i="9"/>
  <c r="F12" i="9"/>
  <c r="E12" i="9"/>
  <c r="G29" i="9" l="1"/>
  <c r="G65" i="9" s="1"/>
  <c r="L5" i="38"/>
  <c r="L13" i="38" s="1"/>
  <c r="L39" i="38" s="1"/>
  <c r="G69" i="9" l="1"/>
  <c r="D86" i="9"/>
  <c r="D87" i="9" s="1"/>
  <c r="L40" i="38" s="1"/>
  <c r="G74" i="9" l="1"/>
  <c r="F52" i="92"/>
  <c r="G52" i="92" s="1"/>
  <c r="L42" i="38"/>
  <c r="L46" i="38" s="1"/>
  <c r="L10" i="90" s="1"/>
  <c r="L25" i="90" s="1"/>
  <c r="E6" i="91"/>
  <c r="G6" i="91" s="1"/>
  <c r="G34" i="91" s="1"/>
  <c r="D34" i="91"/>
  <c r="D36" i="91" s="1"/>
  <c r="F6" i="91"/>
  <c r="F34" i="91" s="1"/>
  <c r="F36" i="91" s="1"/>
  <c r="L5" i="94" l="1"/>
  <c r="U25" i="90"/>
  <c r="L11" i="94"/>
  <c r="U25" i="94" s="1"/>
  <c r="L34" i="93"/>
  <c r="L37" i="93" s="1"/>
  <c r="L39" i="93" s="1"/>
  <c r="G62" i="92"/>
  <c r="G65" i="92" s="1"/>
  <c r="H6" i="91"/>
  <c r="H34" i="91" s="1"/>
  <c r="G36" i="91" s="1"/>
  <c r="E34" i="91"/>
  <c r="E36" i="91" s="1"/>
  <c r="D83" i="92" l="1"/>
  <c r="D86" i="92" s="1"/>
  <c r="D87" i="92" s="1"/>
  <c r="G67" i="92" s="1"/>
  <c r="H35" i="91"/>
  <c r="H36" i="91" s="1"/>
  <c r="L20" i="94" l="1"/>
  <c r="L40" i="93"/>
  <c r="L42" i="93" s="1"/>
  <c r="G69" i="92"/>
  <c r="G74" i="92" s="1"/>
  <c r="L9" i="94" s="1"/>
  <c r="L24" i="94" s="1"/>
  <c r="U24" i="94" s="1"/>
</calcChain>
</file>

<file path=xl/sharedStrings.xml><?xml version="1.0" encoding="utf-8"?>
<sst xmlns="http://schemas.openxmlformats.org/spreadsheetml/2006/main" count="1151" uniqueCount="274">
  <si>
    <t>+</t>
  </si>
  <si>
    <t>=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</si>
  <si>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</si>
  <si>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</si>
  <si>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</si>
  <si>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</si>
  <si>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</si>
  <si>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</si>
  <si>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</si>
  <si>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Incentivo al ahorro según art. 14 letra E) LIR</t>
  </si>
  <si>
    <t>DDAN</t>
  </si>
  <si>
    <t>STUT</t>
  </si>
  <si>
    <t>RAP</t>
  </si>
  <si>
    <t>(-)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</si>
  <si>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</si>
  <si>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</si>
  <si>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</si>
  <si>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</si>
  <si>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</si>
  <si>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</si>
  <si>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</si>
  <si>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</si>
  <si>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</si>
  <si>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</si>
  <si>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</si>
  <si>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</si>
  <si>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</si>
  <si>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</si>
  <si>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</si>
  <si>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</si>
  <si>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</si>
  <si>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</si>
  <si>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</si>
  <si>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</si>
  <si>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</si>
  <si>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</si>
  <si>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</si>
  <si>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</si>
  <si>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</si>
  <si>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</si>
  <si>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</si>
  <si>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</si>
  <si>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</si>
  <si>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</si>
  <si>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</si>
  <si>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</si>
  <si>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</si>
  <si>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</si>
  <si>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</si>
  <si>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</si>
  <si>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</si>
  <si>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</si>
  <si>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</si>
  <si>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</si>
  <si>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</si>
  <si>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</si>
  <si>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</si>
  <si>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</si>
  <si>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</si>
  <si>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</si>
  <si>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</si>
  <si>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</si>
  <si>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</si>
  <si>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</si>
  <si>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</si>
  <si>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</si>
  <si>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</si>
  <si>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</si>
  <si>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</si>
  <si>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</si>
  <si>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</si>
  <si>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</si>
  <si>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</si>
  <si>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</si>
  <si>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</si>
  <si>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</si>
  <si>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</si>
  <si>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</si>
  <si>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</si>
  <si>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Partidas del art. 21 inc. 1° no afectados con IU 40% LIR pagados</t>
  </si>
  <si>
    <t>Partidas del art. 21 del inc. 2° LIR pagados</t>
  </si>
  <si>
    <t>IMPUESTO UNICO DEL 30%</t>
  </si>
  <si>
    <t>Renta imponible art 21 inciso 1º</t>
  </si>
  <si>
    <t xml:space="preserve">ESTADO </t>
  </si>
  <si>
    <t>RESULTADO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</si>
  <si>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</si>
  <si>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</si>
  <si>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</si>
  <si>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</si>
  <si>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SUBTOTAL</t>
  </si>
  <si>
    <t>No pagado</t>
  </si>
  <si>
    <t>No Percibido  ó</t>
  </si>
  <si>
    <t>Pagado</t>
  </si>
  <si>
    <t>Percibido  ó</t>
  </si>
  <si>
    <t>Costo de Ventas</t>
  </si>
  <si>
    <t>Determinación de la RLI   Régimen Propyme   del artículo 14 D Nª 3 al 31 de diciembre del 2021</t>
  </si>
  <si>
    <t>Ventas netas año 2021 a entidades NO relacionadas</t>
  </si>
  <si>
    <t>Ventas netas año 2021 a entidades relacionadas sujetas al régimen pro pyme (art. 14 letra D) N° 3)</t>
  </si>
  <si>
    <t>Ventas netas año 2021 a entidades relacionadas sujetas al régimen de imputación parcial de créditos (art. 14 letra A))</t>
  </si>
  <si>
    <t>Cobro factura emitida en  2020 empresas relacionadas del artículo 14 letra A</t>
  </si>
  <si>
    <t>Otros ingresos</t>
  </si>
  <si>
    <t>Cobro facturas emitidas en 2020 no relacionadas y/o 14 D3</t>
  </si>
  <si>
    <t>Comprendido entre el 01-01-2021 y el 31-12-2021</t>
  </si>
  <si>
    <t>Saldos</t>
  </si>
  <si>
    <t>Inventarios</t>
  </si>
  <si>
    <t>Resultados</t>
  </si>
  <si>
    <t>Cod. Cuenta</t>
  </si>
  <si>
    <t>Nom. Cuenta</t>
  </si>
  <si>
    <t>Débitos</t>
  </si>
  <si>
    <t>Créditos</t>
  </si>
  <si>
    <t>Deudor</t>
  </si>
  <si>
    <t>Acreedor</t>
  </si>
  <si>
    <t>Activo</t>
  </si>
  <si>
    <t>Pasivo</t>
  </si>
  <si>
    <t>Pérdidas</t>
  </si>
  <si>
    <t>Ganancias</t>
  </si>
  <si>
    <t>Caja</t>
  </si>
  <si>
    <t>Iva Credito Fiscal</t>
  </si>
  <si>
    <t>Capital Social</t>
  </si>
  <si>
    <t>Totales Iguales</t>
  </si>
  <si>
    <t>Totales Generales</t>
  </si>
  <si>
    <t>Determinación de la RLI   Régimen Propyme   del artículo 14 D Nª 3 al 31 de diciembre del 2020</t>
  </si>
  <si>
    <t>Ventas netas año 2020 a entidades NO relacionadas</t>
  </si>
  <si>
    <t>Ventas netas año 2020 a entidades relacionadas sujetas al régimen pro pyme (art. 14 letra D) N° 3)</t>
  </si>
  <si>
    <t>Cobro facturas emitidas en diciembre de 2019</t>
  </si>
  <si>
    <t>Ventas netas año 2020 a entidades relacionadas sujetas al régimen de imputación parcial de créditos (art. 14 letra A))</t>
  </si>
  <si>
    <t>Cobro factura emitida en diciembre de 2019 empresas relacionadas del artículo 14 letra A</t>
  </si>
  <si>
    <t>Otros ingresos tributables</t>
  </si>
  <si>
    <t>pagados</t>
  </si>
  <si>
    <t>IMPUESTO UNICO DEL 40%</t>
  </si>
  <si>
    <t>3.- Deducción por beneficio establecido en el artículo 14 letra E de la LIR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</si>
  <si>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</si>
  <si>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</si>
  <si>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</si>
  <si>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</si>
  <si>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</si>
  <si>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Facturas Por Pagar Corrientes</t>
  </si>
  <si>
    <t>Utilidad (Perdida del Ejercicio)</t>
  </si>
  <si>
    <t>Utilidades Acumuladas</t>
  </si>
  <si>
    <t>Impuesto Por Recuperar</t>
  </si>
  <si>
    <t>Equipos de Producción</t>
  </si>
  <si>
    <t>Depreciacion Acumulada (-)</t>
  </si>
  <si>
    <t>Reajuste Credito Fiscal</t>
  </si>
  <si>
    <t>Gastos Generales</t>
  </si>
  <si>
    <t>Depreciacion del Ejercicio</t>
  </si>
  <si>
    <t>Pérdida del Ejercicio</t>
  </si>
  <si>
    <t>Anticipo Sueldos</t>
  </si>
  <si>
    <t>Deudores Clientes</t>
  </si>
  <si>
    <t>Materiales de Producción</t>
  </si>
  <si>
    <t>Pagos Provisionales Mensuales Obligatorios</t>
  </si>
  <si>
    <t>Impuesto Especifico Diesel</t>
  </si>
  <si>
    <t>Vehiculos</t>
  </si>
  <si>
    <t>Vehiculo En Leasing</t>
  </si>
  <si>
    <t>Obligacion En Leasing</t>
  </si>
  <si>
    <t>Remuneraciones Por Pagar</t>
  </si>
  <si>
    <t>Honorarios Por Pagar</t>
  </si>
  <si>
    <t>Imposiciones por Pagar</t>
  </si>
  <si>
    <t>Impuesto Por Pagar</t>
  </si>
  <si>
    <t>Cuenta Corriente Empresa Relacionada</t>
  </si>
  <si>
    <t>Provision PPM</t>
  </si>
  <si>
    <t>IVA Debito Fiscal</t>
  </si>
  <si>
    <t>Retención Profesionales</t>
  </si>
  <si>
    <t>Aporte Accionista</t>
  </si>
  <si>
    <t>Perdidas Acumuladas (-)</t>
  </si>
  <si>
    <t>Ventas Afectas</t>
  </si>
  <si>
    <t>Reajuste Devolucion PPM</t>
  </si>
  <si>
    <t>Remuneraciones Trabajadores</t>
  </si>
  <si>
    <t>otras Remuneraciones Imponibles</t>
  </si>
  <si>
    <t>Aporte Patronal</t>
  </si>
  <si>
    <t>Ropa de Trabajo</t>
  </si>
  <si>
    <t>Telefonia Fija</t>
  </si>
  <si>
    <t>Insumos de Oficina</t>
  </si>
  <si>
    <t>Insumo de Aseo</t>
  </si>
  <si>
    <t>Insumos Bidones de Agua</t>
  </si>
  <si>
    <t>Correspondencias</t>
  </si>
  <si>
    <t>Mantencion de Planta</t>
  </si>
  <si>
    <t>Mantencion de Maquinaria</t>
  </si>
  <si>
    <t>Articulos Publicitarios</t>
  </si>
  <si>
    <t>Gastos de Traslado</t>
  </si>
  <si>
    <t>Mantencion de Vehiculos</t>
  </si>
  <si>
    <t>Combustible Vehiculos</t>
  </si>
  <si>
    <t>Seguros de Vehiculos</t>
  </si>
  <si>
    <t>Peajes Vehiculos</t>
  </si>
  <si>
    <t>Seguros Generales</t>
  </si>
  <si>
    <t>Comisiones Bancarias</t>
  </si>
  <si>
    <t>Perdida Crédito Fiscal</t>
  </si>
  <si>
    <t>cuota leasing</t>
  </si>
  <si>
    <t xml:space="preserve">Balance General </t>
  </si>
  <si>
    <t>Depreciacion Acumulada  Leasing (-)</t>
  </si>
  <si>
    <t>Comprendido entre el 01-01-2020 y el 31-12-2020</t>
  </si>
  <si>
    <t>Construcciones y Obras</t>
  </si>
  <si>
    <t>Mejoras y Reparacion de Locales</t>
  </si>
  <si>
    <t>Depreciacion Acumulada Leasing (-)</t>
  </si>
  <si>
    <t>Gastos de Representacion</t>
  </si>
  <si>
    <t>Estacionamiento de Vehículo</t>
  </si>
  <si>
    <t>Multas Servicio Impuestos Internos</t>
  </si>
  <si>
    <t>Multas Laborales</t>
  </si>
  <si>
    <t>Notarias</t>
  </si>
  <si>
    <t>Depreciacion del Ejercicio Leasing</t>
  </si>
  <si>
    <t>Utilidad del Ejercicio</t>
  </si>
  <si>
    <t>La empresa  tributó al 31.12.2019  en el règimen 14 B y es una SPA con un accionista</t>
  </si>
  <si>
    <t>A contar del 1 de enero de 2020 la empresa quedó sujeta al régimen 14 D Nº 3 y la empresa lleva contabilidad completa</t>
  </si>
  <si>
    <t>Proveedores Gastos Generales</t>
  </si>
  <si>
    <t>Venta no relacionados</t>
  </si>
  <si>
    <t>Venta relacionados 14 A</t>
  </si>
  <si>
    <t>Los saldos del RREE al 31.12.2019</t>
  </si>
  <si>
    <t>REX (INR)</t>
  </si>
  <si>
    <t>SAC 2017</t>
  </si>
  <si>
    <t>SAC 31.12.2016 C/DEV</t>
  </si>
  <si>
    <t>Intereses Leasing</t>
  </si>
  <si>
    <t>Bono Alivio</t>
  </si>
  <si>
    <t>adquisiciones del ejercicio y que no se fueron a resultado</t>
  </si>
  <si>
    <t>no hubo compra de activo inmovilzado 2021</t>
  </si>
  <si>
    <t>facturas por pagar iva incluido relacionados con gastos incurridos</t>
  </si>
  <si>
    <t>remuneraciones de diciembre de 2021</t>
  </si>
  <si>
    <t>imposiciones de diciembre 2021</t>
  </si>
  <si>
    <t>honorarios por pagar octubre  2021</t>
  </si>
  <si>
    <t>cuotas de leasing</t>
  </si>
  <si>
    <t>Recuadro N° 19: CPTS RÉGIMEN PRO PYME 
(art. 14 letra D) N° 3 LIR)</t>
  </si>
  <si>
    <t>CPT positivo inicial</t>
  </si>
  <si>
    <t>Código 645 F22 AT 2020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</si>
  <si>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</si>
  <si>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</si>
  <si>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</si>
  <si>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</si>
  <si>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</si>
  <si>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</si>
  <si>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</si>
  <si>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</si>
  <si>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1450</t>
  </si>
  <si>
    <t>Codigo 1426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</si>
  <si>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</si>
  <si>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</si>
  <si>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</si>
  <si>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</si>
  <si>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</si>
  <si>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</si>
  <si>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</si>
  <si>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Crédito total disponible imputable contra impuestos finales (IPE), del ejercicio</t>
  </si>
  <si>
    <t>Base del IDPC voluntario según art. 14 letra A) N° 6 LIR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</si>
  <si>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</si>
  <si>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</si>
  <si>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</si>
  <si>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</si>
  <si>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Antecedentes al 31.12.2019</t>
  </si>
  <si>
    <t xml:space="preserve">Capital Propio Tributario </t>
  </si>
  <si>
    <t xml:space="preserve">Pérdida Tributaria </t>
  </si>
  <si>
    <t>Activo fijo</t>
  </si>
  <si>
    <t>Depreciación acumulada</t>
  </si>
  <si>
    <t>Antecedentes al 31.12.2020</t>
  </si>
  <si>
    <t>Compra de vehiculos</t>
  </si>
  <si>
    <t>Materiales de producción</t>
  </si>
  <si>
    <t xml:space="preserve">Capital Social </t>
  </si>
  <si>
    <t>Depreciación vehículo</t>
  </si>
  <si>
    <t>en junio de 2020 y hace uso del crédito artículo 33 bis</t>
  </si>
  <si>
    <t>90% no relacionados</t>
  </si>
  <si>
    <t>70% no relacionado</t>
  </si>
  <si>
    <t>de gastos generales</t>
  </si>
  <si>
    <t>80% de ventas no relacionadas</t>
  </si>
  <si>
    <t>tributario</t>
  </si>
  <si>
    <t>tributaria</t>
  </si>
  <si>
    <t>compra del ejercicio $ 6,364,714</t>
  </si>
  <si>
    <t>compra del año 2020</t>
  </si>
  <si>
    <t>cuota de leasing</t>
  </si>
  <si>
    <t>CALCULO DEL CREDITO DEL ARTÍCULO 33 BIS</t>
  </si>
  <si>
    <t>MONTO DE BIEN</t>
  </si>
  <si>
    <t>MONTO ACTUALIZADO</t>
  </si>
  <si>
    <t>DETERMINACION DE LA TASA</t>
  </si>
  <si>
    <t>Crédito artículo 33 bis</t>
  </si>
  <si>
    <t>MONTO NETO DEL BIEN</t>
  </si>
  <si>
    <t>REAJUSTE  1,4%</t>
  </si>
  <si>
    <t>ventas 2019</t>
  </si>
  <si>
    <t>uf</t>
  </si>
  <si>
    <t xml:space="preserve"> ventas menores a 25.000 uf promedio 3 últimos años anteriores al uso del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</si>
</sst>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  <numFmt numFmtId="171" formatCode="_-&quot;$&quot;\ * #,##0.00_-;\-&quot;$&quot;\ * #,##0.00_-;_-&quot;$&quot;\ 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2" fillId="5" borderId="0" applyNumberFormat="0" applyBorder="0" applyAlignment="0" applyProtection="0"/>
    <xf numFmtId="0" fontId="9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23" borderId="60" applyNumberFormat="0" applyAlignment="0" applyProtection="0"/>
    <xf numFmtId="0" fontId="31" fillId="23" borderId="60" applyNumberFormat="0" applyAlignment="0" applyProtection="0"/>
    <xf numFmtId="0" fontId="32" fillId="24" borderId="61" applyNumberFormat="0" applyAlignment="0" applyProtection="0"/>
    <xf numFmtId="0" fontId="33" fillId="24" borderId="61" applyNumberFormat="0" applyAlignment="0" applyProtection="0"/>
    <xf numFmtId="0" fontId="34" fillId="0" borderId="62" applyNumberFormat="0" applyFill="0" applyAlignment="0" applyProtection="0"/>
    <xf numFmtId="0" fontId="35" fillId="12" borderId="0" applyNumberFormat="0" applyBorder="0" applyAlignment="0" applyProtection="0"/>
    <xf numFmtId="0" fontId="36" fillId="0" borderId="63" applyNumberFormat="0" applyFill="0" applyAlignment="0" applyProtection="0"/>
    <xf numFmtId="0" fontId="37" fillId="0" borderId="64" applyNumberFormat="0" applyFill="0" applyAlignment="0" applyProtection="0"/>
    <xf numFmtId="0" fontId="38" fillId="0" borderId="65" applyNumberFormat="0" applyFill="0" applyAlignment="0" applyProtection="0"/>
    <xf numFmtId="0" fontId="39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8" borderId="0" applyNumberFormat="0" applyBorder="0" applyAlignment="0" applyProtection="0"/>
    <xf numFmtId="0" fontId="40" fillId="15" borderId="6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11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4" fillId="29" borderId="0" applyNumberFormat="0" applyBorder="0" applyAlignment="0" applyProtection="0"/>
    <xf numFmtId="0" fontId="4" fillId="0" borderId="0"/>
    <xf numFmtId="0" fontId="4" fillId="29" borderId="66" applyNumberFormat="0" applyFont="0" applyAlignment="0" applyProtection="0"/>
    <xf numFmtId="0" fontId="4" fillId="29" borderId="66" applyNumberFormat="0" applyFont="0" applyAlignment="0" applyProtection="0"/>
    <xf numFmtId="0" fontId="4" fillId="30" borderId="6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3" borderId="6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4" applyNumberFormat="0" applyFill="0" applyAlignment="0" applyProtection="0"/>
    <xf numFmtId="0" fontId="39" fillId="0" borderId="6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8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9" fillId="0" borderId="0"/>
    <xf numFmtId="171" fontId="1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341">
    <xf numFmtId="0" fontId="0" fillId="0" borderId="0" xfId="0"/>
    <xf numFmtId="3" fontId="0" fillId="0" borderId="0" xfId="0" applyNumberFormat="1"/>
    <xf numFmtId="0" fontId="7" fillId="0" borderId="0" xfId="0" applyFont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0" fontId="0" fillId="2" borderId="12" xfId="0" applyFont="1" applyFill="1" applyBorder="1"/>
    <xf numFmtId="168" fontId="15" fillId="0" borderId="0" xfId="0" applyNumberFormat="1" applyFont="1"/>
    <xf numFmtId="168" fontId="16" fillId="0" borderId="24" xfId="0" applyNumberFormat="1" applyFont="1" applyFill="1" applyBorder="1" applyAlignment="1">
      <alignment horizontal="center" vertical="center"/>
    </xf>
    <xf numFmtId="168" fontId="17" fillId="0" borderId="14" xfId="0" applyNumberFormat="1" applyFont="1" applyFill="1" applyBorder="1" applyAlignment="1">
      <alignment horizontal="center" vertical="center"/>
    </xf>
    <xf numFmtId="168" fontId="16" fillId="0" borderId="28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168" fontId="17" fillId="0" borderId="20" xfId="0" applyNumberFormat="1" applyFont="1" applyFill="1" applyBorder="1" applyAlignment="1">
      <alignment horizontal="center" vertical="center"/>
    </xf>
    <xf numFmtId="168" fontId="17" fillId="0" borderId="29" xfId="0" applyNumberFormat="1" applyFont="1" applyFill="1" applyBorder="1" applyAlignment="1">
      <alignment horizontal="center" vertical="center"/>
    </xf>
    <xf numFmtId="168" fontId="17" fillId="0" borderId="30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168" fontId="17" fillId="7" borderId="56" xfId="0" applyNumberFormat="1" applyFont="1" applyFill="1" applyBorder="1" applyAlignment="1">
      <alignment horizontal="center" vertical="center"/>
    </xf>
    <xf numFmtId="168" fontId="18" fillId="0" borderId="27" xfId="0" applyNumberFormat="1" applyFont="1" applyFill="1" applyBorder="1" applyAlignment="1">
      <alignment vertical="center"/>
    </xf>
    <xf numFmtId="168" fontId="17" fillId="7" borderId="33" xfId="0" applyNumberFormat="1" applyFont="1" applyFill="1" applyBorder="1" applyAlignment="1">
      <alignment horizontal="center" vertical="center"/>
    </xf>
    <xf numFmtId="168" fontId="22" fillId="0" borderId="0" xfId="0" applyNumberFormat="1" applyFont="1"/>
    <xf numFmtId="168" fontId="17" fillId="7" borderId="14" xfId="0" applyNumberFormat="1" applyFont="1" applyFill="1" applyBorder="1" applyAlignment="1">
      <alignment horizontal="center" vertical="center"/>
    </xf>
    <xf numFmtId="168" fontId="23" fillId="0" borderId="0" xfId="0" applyNumberFormat="1" applyFont="1"/>
    <xf numFmtId="168" fontId="17" fillId="0" borderId="56" xfId="0" applyNumberFormat="1" applyFont="1" applyFill="1" applyBorder="1" applyAlignment="1">
      <alignment horizontal="center" vertical="center"/>
    </xf>
    <xf numFmtId="168" fontId="16" fillId="7" borderId="37" xfId="0" applyNumberFormat="1" applyFont="1" applyFill="1" applyBorder="1" applyAlignment="1">
      <alignment horizontal="center" vertical="center"/>
    </xf>
    <xf numFmtId="168" fontId="17" fillId="0" borderId="9" xfId="0" applyNumberFormat="1" applyFont="1" applyFill="1" applyBorder="1" applyAlignment="1">
      <alignment horizontal="center" vertical="center"/>
    </xf>
    <xf numFmtId="168" fontId="17" fillId="0" borderId="47" xfId="0" applyNumberFormat="1" applyFont="1" applyFill="1" applyBorder="1" applyAlignment="1">
      <alignment horizontal="center" vertical="center"/>
    </xf>
    <xf numFmtId="168" fontId="17" fillId="0" borderId="26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21" fillId="0" borderId="0" xfId="0" applyNumberFormat="1" applyFont="1"/>
    <xf numFmtId="168" fontId="16" fillId="6" borderId="44" xfId="3" applyNumberFormat="1" applyFont="1" applyFill="1" applyBorder="1" applyAlignment="1">
      <alignment horizontal="center" vertical="center" wrapText="1"/>
    </xf>
    <xf numFmtId="168" fontId="16" fillId="6" borderId="35" xfId="3" applyNumberFormat="1" applyFont="1" applyFill="1" applyBorder="1" applyAlignment="1">
      <alignment horizontal="center" vertical="center" wrapText="1"/>
    </xf>
    <xf numFmtId="168" fontId="16" fillId="6" borderId="34" xfId="3" applyNumberFormat="1" applyFont="1" applyFill="1" applyBorder="1" applyAlignment="1">
      <alignment horizontal="center" vertical="center" wrapText="1"/>
    </xf>
    <xf numFmtId="168" fontId="16" fillId="6" borderId="37" xfId="3" applyNumberFormat="1" applyFont="1" applyFill="1" applyBorder="1" applyAlignment="1">
      <alignment horizontal="center" vertical="center" wrapText="1"/>
    </xf>
    <xf numFmtId="168" fontId="18" fillId="0" borderId="51" xfId="0" applyNumberFormat="1" applyFont="1" applyFill="1" applyBorder="1" applyAlignment="1">
      <alignment vertical="center"/>
    </xf>
    <xf numFmtId="168" fontId="16" fillId="0" borderId="57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57" xfId="0" applyNumberFormat="1" applyFont="1" applyFill="1" applyBorder="1" applyAlignment="1">
      <alignment horizontal="center" vertical="center"/>
    </xf>
    <xf numFmtId="168" fontId="17" fillId="0" borderId="42" xfId="0" applyNumberFormat="1" applyFont="1" applyFill="1" applyBorder="1" applyAlignment="1">
      <alignment horizontal="center" vertical="center"/>
    </xf>
    <xf numFmtId="168" fontId="16" fillId="0" borderId="43" xfId="0" applyNumberFormat="1" applyFont="1" applyFill="1" applyBorder="1" applyAlignment="1">
      <alignment horizontal="center" vertical="center"/>
    </xf>
    <xf numFmtId="0" fontId="24" fillId="0" borderId="0" xfId="0" applyFont="1"/>
    <xf numFmtId="0" fontId="26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168" fontId="17" fillId="0" borderId="23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168" fontId="17" fillId="0" borderId="2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168" fontId="20" fillId="0" borderId="38" xfId="0" applyNumberFormat="1" applyFont="1" applyFill="1" applyBorder="1" applyAlignment="1">
      <alignment horizontal="left" vertical="center"/>
    </xf>
    <xf numFmtId="0" fontId="24" fillId="0" borderId="40" xfId="0" applyFont="1" applyBorder="1" applyAlignment="1">
      <alignment horizontal="left" indent="4"/>
    </xf>
    <xf numFmtId="0" fontId="24" fillId="0" borderId="46" xfId="0" applyFont="1" applyBorder="1" applyAlignment="1">
      <alignment horizontal="left" indent="4"/>
    </xf>
    <xf numFmtId="168" fontId="20" fillId="0" borderId="38" xfId="0" applyNumberFormat="1" applyFont="1" applyFill="1" applyBorder="1" applyAlignment="1">
      <alignment horizontal="left" vertical="center" wrapText="1"/>
    </xf>
    <xf numFmtId="168" fontId="17" fillId="7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indent="5"/>
    </xf>
    <xf numFmtId="0" fontId="0" fillId="0" borderId="46" xfId="0" applyBorder="1" applyAlignment="1">
      <alignment horizontal="left" indent="5"/>
    </xf>
    <xf numFmtId="49" fontId="17" fillId="0" borderId="30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168" fontId="20" fillId="0" borderId="40" xfId="0" applyNumberFormat="1" applyFont="1" applyFill="1" applyBorder="1" applyAlignment="1">
      <alignment vertical="center"/>
    </xf>
    <xf numFmtId="168" fontId="20" fillId="0" borderId="41" xfId="0" applyNumberFormat="1" applyFont="1" applyFill="1" applyBorder="1" applyAlignment="1">
      <alignment horizontal="left" vertical="center" wrapText="1"/>
    </xf>
    <xf numFmtId="168" fontId="20" fillId="0" borderId="45" xfId="0" applyNumberFormat="1" applyFont="1" applyFill="1" applyBorder="1" applyAlignment="1">
      <alignment horizontal="left" vertical="center" wrapText="1"/>
    </xf>
    <xf numFmtId="168" fontId="20" fillId="0" borderId="46" xfId="0" applyNumberFormat="1" applyFont="1" applyFill="1" applyBorder="1" applyAlignment="1">
      <alignment horizontal="left" vertical="center" wrapText="1"/>
    </xf>
    <xf numFmtId="168" fontId="17" fillId="8" borderId="33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168" fontId="20" fillId="0" borderId="40" xfId="0" applyNumberFormat="1" applyFont="1" applyFill="1" applyBorder="1" applyAlignment="1">
      <alignment horizontal="left" vertical="center" wrapText="1"/>
    </xf>
    <xf numFmtId="168" fontId="20" fillId="0" borderId="40" xfId="0" applyNumberFormat="1" applyFont="1" applyFill="1" applyBorder="1" applyAlignment="1">
      <alignment vertical="center" wrapText="1"/>
    </xf>
    <xf numFmtId="0" fontId="0" fillId="0" borderId="41" xfId="0" applyBorder="1" applyAlignment="1">
      <alignment horizontal="left" indent="5"/>
    </xf>
    <xf numFmtId="49" fontId="17" fillId="0" borderId="29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horizontal="left" vertical="center" wrapText="1"/>
    </xf>
    <xf numFmtId="168" fontId="17" fillId="8" borderId="37" xfId="0" applyNumberFormat="1" applyFont="1" applyFill="1" applyBorder="1" applyAlignment="1">
      <alignment horizontal="center" vertical="center"/>
    </xf>
    <xf numFmtId="168" fontId="16" fillId="7" borderId="6" xfId="0" applyNumberFormat="1" applyFont="1" applyFill="1" applyBorder="1" applyAlignment="1">
      <alignment horizontal="left" vertical="center" wrapText="1"/>
    </xf>
    <xf numFmtId="168" fontId="16" fillId="7" borderId="16" xfId="0" applyNumberFormat="1" applyFont="1" applyFill="1" applyBorder="1" applyAlignment="1">
      <alignment horizontal="left" vertical="center" wrapText="1"/>
    </xf>
    <xf numFmtId="0" fontId="24" fillId="0" borderId="18" xfId="0" applyFont="1" applyBorder="1"/>
    <xf numFmtId="0" fontId="8" fillId="4" borderId="6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center" vertical="center"/>
    </xf>
    <xf numFmtId="168" fontId="20" fillId="0" borderId="45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horizontal="left" indent="5"/>
    </xf>
    <xf numFmtId="168" fontId="27" fillId="0" borderId="40" xfId="0" applyNumberFormat="1" applyFont="1" applyFill="1" applyBorder="1" applyAlignment="1">
      <alignment vertical="center" wrapText="1"/>
    </xf>
    <xf numFmtId="168" fontId="16" fillId="7" borderId="22" xfId="0" applyNumberFormat="1" applyFont="1" applyFill="1" applyBorder="1" applyAlignment="1">
      <alignment vertical="center" wrapText="1"/>
    </xf>
    <xf numFmtId="168" fontId="17" fillId="7" borderId="42" xfId="0" applyNumberFormat="1" applyFont="1" applyFill="1" applyBorder="1" applyAlignment="1">
      <alignment horizontal="center" vertical="center"/>
    </xf>
    <xf numFmtId="168" fontId="27" fillId="0" borderId="32" xfId="0" applyNumberFormat="1" applyFont="1" applyFill="1" applyBorder="1" applyAlignment="1">
      <alignment horizontal="left" vertical="center" wrapText="1"/>
    </xf>
    <xf numFmtId="168" fontId="17" fillId="0" borderId="3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8" borderId="52" xfId="0" applyFont="1" applyFill="1" applyBorder="1" applyAlignment="1">
      <alignment horizontal="center"/>
    </xf>
    <xf numFmtId="0" fontId="0" fillId="8" borderId="54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8" fontId="16" fillId="7" borderId="6" xfId="0" applyNumberFormat="1" applyFont="1" applyFill="1" applyBorder="1" applyAlignment="1">
      <alignment vertical="center" wrapText="1"/>
    </xf>
    <xf numFmtId="0" fontId="24" fillId="0" borderId="8" xfId="0" applyFont="1" applyBorder="1"/>
    <xf numFmtId="0" fontId="0" fillId="0" borderId="7" xfId="0" applyFont="1" applyBorder="1" applyAlignment="1">
      <alignment horizontal="center"/>
    </xf>
    <xf numFmtId="168" fontId="17" fillId="8" borderId="28" xfId="0" applyNumberFormat="1" applyFont="1" applyFill="1" applyBorder="1" applyAlignment="1">
      <alignment horizontal="center" vertical="center"/>
    </xf>
    <xf numFmtId="168" fontId="17" fillId="7" borderId="8" xfId="0" applyNumberFormat="1" applyFont="1" applyFill="1" applyBorder="1" applyAlignment="1">
      <alignment horizontal="center" vertical="center"/>
    </xf>
    <xf numFmtId="168" fontId="0" fillId="0" borderId="0" xfId="0" applyNumberFormat="1" applyFont="1"/>
    <xf numFmtId="3" fontId="0" fillId="0" borderId="0" xfId="0" applyNumberFormat="1" applyFont="1"/>
    <xf numFmtId="168" fontId="17" fillId="32" borderId="33" xfId="0" applyNumberFormat="1" applyFont="1" applyFill="1" applyBorder="1" applyAlignment="1">
      <alignment horizontal="center" vertical="center"/>
    </xf>
    <xf numFmtId="168" fontId="17" fillId="32" borderId="56" xfId="0" applyNumberFormat="1" applyFont="1" applyFill="1" applyBorder="1" applyAlignment="1">
      <alignment horizontal="center" vertical="center"/>
    </xf>
    <xf numFmtId="49" fontId="17" fillId="32" borderId="30" xfId="0" applyNumberFormat="1" applyFont="1" applyFill="1" applyBorder="1" applyAlignment="1">
      <alignment horizontal="center" vertical="center"/>
    </xf>
    <xf numFmtId="49" fontId="17" fillId="32" borderId="29" xfId="0" applyNumberFormat="1" applyFont="1" applyFill="1" applyBorder="1" applyAlignment="1">
      <alignment horizontal="center" vertical="center"/>
    </xf>
    <xf numFmtId="168" fontId="17" fillId="32" borderId="8" xfId="0" applyNumberFormat="1" applyFont="1" applyFill="1" applyBorder="1" applyAlignment="1">
      <alignment horizontal="center" vertical="center"/>
    </xf>
    <xf numFmtId="168" fontId="17" fillId="32" borderId="14" xfId="0" applyNumberFormat="1" applyFont="1" applyFill="1" applyBorder="1" applyAlignment="1">
      <alignment horizontal="center" vertical="center"/>
    </xf>
    <xf numFmtId="168" fontId="17" fillId="32" borderId="2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24" fillId="32" borderId="18" xfId="0" applyFont="1" applyFill="1" applyBorder="1" applyAlignment="1">
      <alignment horizontal="center"/>
    </xf>
    <xf numFmtId="0" fontId="24" fillId="32" borderId="8" xfId="0" applyFont="1" applyFill="1" applyBorder="1" applyAlignment="1">
      <alignment horizontal="center"/>
    </xf>
    <xf numFmtId="3" fontId="0" fillId="8" borderId="54" xfId="0" applyNumberFormat="1" applyFont="1" applyFill="1" applyBorder="1" applyAlignment="1">
      <alignment horizontal="center"/>
    </xf>
    <xf numFmtId="168" fontId="17" fillId="8" borderId="43" xfId="0" applyNumberFormat="1" applyFont="1" applyFill="1" applyBorder="1" applyAlignment="1">
      <alignment horizontal="center" vertical="center"/>
    </xf>
    <xf numFmtId="168" fontId="17" fillId="31" borderId="42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3" fontId="51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17" fillId="0" borderId="3" xfId="0" applyNumberFormat="1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8" fontId="0" fillId="0" borderId="26" xfId="0" applyNumberFormat="1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168" fontId="17" fillId="8" borderId="69" xfId="0" applyNumberFormat="1" applyFont="1" applyFill="1" applyBorder="1" applyAlignment="1">
      <alignment horizontal="center" vertical="center"/>
    </xf>
    <xf numFmtId="3" fontId="0" fillId="8" borderId="58" xfId="0" applyNumberFormat="1" applyFont="1" applyFill="1" applyBorder="1" applyAlignment="1">
      <alignment horizontal="center"/>
    </xf>
    <xf numFmtId="0" fontId="0" fillId="8" borderId="71" xfId="0" applyFont="1" applyFill="1" applyBorder="1" applyAlignment="1">
      <alignment horizontal="center"/>
    </xf>
    <xf numFmtId="0" fontId="0" fillId="8" borderId="70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68" fontId="17" fillId="9" borderId="23" xfId="0" applyNumberFormat="1" applyFont="1" applyFill="1" applyBorder="1" applyAlignment="1">
      <alignment horizontal="center" vertical="center"/>
    </xf>
    <xf numFmtId="168" fontId="18" fillId="9" borderId="14" xfId="0" applyNumberFormat="1" applyFont="1" applyFill="1" applyBorder="1" applyAlignment="1">
      <alignment horizontal="center" vertical="center"/>
    </xf>
    <xf numFmtId="168" fontId="18" fillId="9" borderId="20" xfId="0" applyNumberFormat="1" applyFont="1" applyFill="1" applyBorder="1" applyAlignment="1">
      <alignment horizontal="center" vertical="center"/>
    </xf>
    <xf numFmtId="168" fontId="17" fillId="9" borderId="30" xfId="0" applyNumberFormat="1" applyFont="1" applyFill="1" applyBorder="1" applyAlignment="1">
      <alignment horizontal="center" vertical="center"/>
    </xf>
    <xf numFmtId="3" fontId="0" fillId="9" borderId="14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3" fontId="0" fillId="9" borderId="29" xfId="0" applyNumberForma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68" fontId="17" fillId="9" borderId="20" xfId="0" applyNumberFormat="1" applyFont="1" applyFill="1" applyBorder="1" applyAlignment="1">
      <alignment horizontal="center" vertical="center"/>
    </xf>
    <xf numFmtId="168" fontId="17" fillId="9" borderId="33" xfId="0" applyNumberFormat="1" applyFont="1" applyFill="1" applyBorder="1" applyAlignment="1">
      <alignment horizontal="center" vertical="center"/>
    </xf>
    <xf numFmtId="168" fontId="17" fillId="9" borderId="42" xfId="0" applyNumberFormat="1" applyFont="1" applyFill="1" applyBorder="1" applyAlignment="1">
      <alignment horizontal="center" vertical="center"/>
    </xf>
    <xf numFmtId="168" fontId="17" fillId="9" borderId="56" xfId="0" applyNumberFormat="1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/>
    </xf>
    <xf numFmtId="49" fontId="17" fillId="9" borderId="30" xfId="0" applyNumberFormat="1" applyFont="1" applyFill="1" applyBorder="1" applyAlignment="1">
      <alignment horizontal="center" vertical="center"/>
    </xf>
    <xf numFmtId="49" fontId="17" fillId="9" borderId="29" xfId="0" applyNumberFormat="1" applyFont="1" applyFill="1" applyBorder="1" applyAlignment="1">
      <alignment horizontal="center" vertical="center"/>
    </xf>
    <xf numFmtId="168" fontId="17" fillId="9" borderId="8" xfId="0" applyNumberFormat="1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/>
    </xf>
    <xf numFmtId="168" fontId="17" fillId="9" borderId="14" xfId="0" applyNumberFormat="1" applyFont="1" applyFill="1" applyBorder="1" applyAlignment="1">
      <alignment horizontal="center" vertical="center"/>
    </xf>
    <xf numFmtId="168" fontId="17" fillId="9" borderId="29" xfId="0" applyNumberFormat="1" applyFont="1" applyFill="1" applyBorder="1" applyAlignment="1">
      <alignment horizontal="center" vertical="center"/>
    </xf>
    <xf numFmtId="3" fontId="24" fillId="9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168" fontId="18" fillId="0" borderId="14" xfId="0" applyNumberFormat="1" applyFont="1" applyFill="1" applyBorder="1" applyAlignment="1">
      <alignment horizontal="center" vertical="center"/>
    </xf>
    <xf numFmtId="168" fontId="18" fillId="0" borderId="20" xfId="0" applyNumberFormat="1" applyFont="1" applyFill="1" applyBorder="1" applyAlignment="1">
      <alignment horizontal="center" vertical="center"/>
    </xf>
    <xf numFmtId="0" fontId="2" fillId="0" borderId="0" xfId="0" applyFont="1"/>
    <xf numFmtId="0" fontId="11" fillId="2" borderId="12" xfId="0" applyFont="1" applyFill="1" applyBorder="1"/>
    <xf numFmtId="0" fontId="11" fillId="2" borderId="0" xfId="0" applyFont="1" applyFill="1" applyBorder="1"/>
    <xf numFmtId="0" fontId="53" fillId="2" borderId="12" xfId="0" applyFont="1" applyFill="1" applyBorder="1"/>
    <xf numFmtId="0" fontId="53" fillId="2" borderId="0" xfId="0" applyFont="1" applyFill="1" applyBorder="1"/>
    <xf numFmtId="0" fontId="51" fillId="2" borderId="51" xfId="0" applyFont="1" applyFill="1" applyBorder="1" applyAlignment="1">
      <alignment horizontal="center"/>
    </xf>
    <xf numFmtId="0" fontId="51" fillId="33" borderId="29" xfId="0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3" fontId="5" fillId="4" borderId="51" xfId="0" applyNumberFormat="1" applyFont="1" applyFill="1" applyBorder="1" applyAlignment="1">
      <alignment horizontal="center"/>
    </xf>
    <xf numFmtId="3" fontId="5" fillId="33" borderId="39" xfId="0" applyNumberFormat="1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0" fontId="51" fillId="33" borderId="39" xfId="0" applyFont="1" applyFill="1" applyBorder="1" applyAlignment="1">
      <alignment horizontal="center"/>
    </xf>
    <xf numFmtId="9" fontId="51" fillId="2" borderId="53" xfId="1" applyFont="1" applyFill="1" applyBorder="1" applyAlignment="1">
      <alignment horizontal="center"/>
    </xf>
    <xf numFmtId="9" fontId="51" fillId="33" borderId="30" xfId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center"/>
    </xf>
    <xf numFmtId="0" fontId="8" fillId="8" borderId="21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3" fontId="51" fillId="8" borderId="58" xfId="0" applyNumberFormat="1" applyFont="1" applyFill="1" applyBorder="1" applyAlignment="1">
      <alignment horizontal="center"/>
    </xf>
    <xf numFmtId="168" fontId="0" fillId="8" borderId="58" xfId="0" applyNumberFormat="1" applyFont="1" applyFill="1" applyBorder="1" applyAlignment="1">
      <alignment horizontal="center"/>
    </xf>
    <xf numFmtId="3" fontId="0" fillId="8" borderId="72" xfId="0" applyNumberFormat="1" applyFont="1" applyFill="1" applyBorder="1" applyAlignment="1">
      <alignment horizontal="center"/>
    </xf>
    <xf numFmtId="168" fontId="17" fillId="8" borderId="71" xfId="0" applyNumberFormat="1" applyFon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8" fontId="17" fillId="8" borderId="25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8" borderId="69" xfId="0" applyFont="1" applyFill="1" applyBorder="1" applyAlignment="1">
      <alignment horizontal="center"/>
    </xf>
    <xf numFmtId="168" fontId="17" fillId="8" borderId="59" xfId="0" applyNumberFormat="1" applyFont="1" applyFill="1" applyBorder="1" applyAlignment="1">
      <alignment horizontal="center" vertical="center"/>
    </xf>
    <xf numFmtId="3" fontId="0" fillId="8" borderId="71" xfId="0" applyNumberFormat="1" applyFont="1" applyFill="1" applyBorder="1" applyAlignment="1">
      <alignment horizontal="center"/>
    </xf>
    <xf numFmtId="3" fontId="51" fillId="0" borderId="26" xfId="0" applyNumberFormat="1" applyFont="1" applyBorder="1" applyAlignment="1">
      <alignment horizontal="center"/>
    </xf>
    <xf numFmtId="168" fontId="16" fillId="0" borderId="40" xfId="0" applyNumberFormat="1" applyFont="1" applyFill="1" applyBorder="1" applyAlignment="1">
      <alignment horizontal="left" vertical="center" wrapText="1"/>
    </xf>
    <xf numFmtId="168" fontId="17" fillId="8" borderId="21" xfId="0" applyNumberFormat="1" applyFont="1" applyFill="1" applyBorder="1" applyAlignment="1">
      <alignment horizontal="center" vertical="center"/>
    </xf>
    <xf numFmtId="168" fontId="17" fillId="31" borderId="21" xfId="0" applyNumberFormat="1" applyFont="1" applyFill="1" applyBorder="1" applyAlignment="1">
      <alignment horizontal="center" vertical="center"/>
    </xf>
    <xf numFmtId="168" fontId="17" fillId="32" borderId="34" xfId="0" applyNumberFormat="1" applyFont="1" applyFill="1" applyBorder="1" applyAlignment="1">
      <alignment horizontal="center" vertical="center"/>
    </xf>
    <xf numFmtId="168" fontId="17" fillId="32" borderId="47" xfId="0" applyNumberFormat="1" applyFont="1" applyFill="1" applyBorder="1" applyAlignment="1">
      <alignment horizontal="center" vertical="center"/>
    </xf>
    <xf numFmtId="49" fontId="17" fillId="32" borderId="3" xfId="0" applyNumberFormat="1" applyFont="1" applyFill="1" applyBorder="1" applyAlignment="1">
      <alignment horizontal="center" vertical="center"/>
    </xf>
    <xf numFmtId="49" fontId="17" fillId="32" borderId="1" xfId="0" applyNumberFormat="1" applyFont="1" applyFill="1" applyBorder="1" applyAlignment="1">
      <alignment horizontal="center" vertical="center"/>
    </xf>
    <xf numFmtId="168" fontId="17" fillId="32" borderId="26" xfId="0" applyNumberFormat="1" applyFont="1" applyFill="1" applyBorder="1" applyAlignment="1">
      <alignment horizontal="center" vertical="center"/>
    </xf>
    <xf numFmtId="168" fontId="17" fillId="32" borderId="1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8" fontId="17" fillId="8" borderId="58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3" fontId="24" fillId="3" borderId="14" xfId="0" applyNumberFormat="1" applyFont="1" applyFill="1" applyBorder="1"/>
    <xf numFmtId="14" fontId="0" fillId="0" borderId="0" xfId="0" applyNumberFormat="1"/>
    <xf numFmtId="0" fontId="0" fillId="0" borderId="0" xfId="0" applyFont="1" applyFill="1" applyBorder="1"/>
    <xf numFmtId="3" fontId="24" fillId="3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168" fontId="18" fillId="0" borderId="0" xfId="0" applyNumberFormat="1" applyFont="1"/>
    <xf numFmtId="168" fontId="18" fillId="0" borderId="73" xfId="0" applyNumberFormat="1" applyFont="1" applyFill="1" applyBorder="1" applyAlignment="1">
      <alignment vertical="center"/>
    </xf>
    <xf numFmtId="168" fontId="18" fillId="0" borderId="10" xfId="0" applyNumberFormat="1" applyFont="1" applyFill="1" applyBorder="1" applyAlignment="1">
      <alignment vertical="center"/>
    </xf>
    <xf numFmtId="168" fontId="17" fillId="0" borderId="24" xfId="0" applyNumberFormat="1" applyFont="1" applyFill="1" applyBorder="1" applyAlignment="1">
      <alignment horizontal="center" vertical="center"/>
    </xf>
    <xf numFmtId="168" fontId="18" fillId="0" borderId="74" xfId="0" applyNumberFormat="1" applyFont="1" applyFill="1" applyBorder="1" applyAlignment="1">
      <alignment vertical="center"/>
    </xf>
    <xf numFmtId="168" fontId="18" fillId="0" borderId="4" xfId="0" applyNumberFormat="1" applyFont="1" applyFill="1" applyBorder="1" applyAlignment="1">
      <alignment vertical="center"/>
    </xf>
    <xf numFmtId="49" fontId="17" fillId="0" borderId="31" xfId="0" applyNumberFormat="1" applyFont="1" applyFill="1" applyBorder="1" applyAlignment="1">
      <alignment horizontal="center" vertical="center"/>
    </xf>
    <xf numFmtId="168" fontId="17" fillId="0" borderId="31" xfId="0" applyNumberFormat="1" applyFont="1" applyFill="1" applyBorder="1" applyAlignment="1">
      <alignment horizontal="center" vertical="center"/>
    </xf>
    <xf numFmtId="168" fontId="18" fillId="0" borderId="75" xfId="0" applyNumberFormat="1" applyFont="1" applyFill="1" applyBorder="1" applyAlignment="1">
      <alignment vertical="center"/>
    </xf>
    <xf numFmtId="168" fontId="18" fillId="0" borderId="76" xfId="0" applyNumberFormat="1" applyFont="1" applyFill="1" applyBorder="1" applyAlignment="1">
      <alignment vertical="center"/>
    </xf>
    <xf numFmtId="168" fontId="17" fillId="0" borderId="77" xfId="0" applyNumberFormat="1" applyFont="1" applyFill="1" applyBorder="1" applyAlignment="1">
      <alignment horizontal="center" vertical="center"/>
    </xf>
    <xf numFmtId="168" fontId="17" fillId="0" borderId="78" xfId="0" applyNumberFormat="1" applyFont="1" applyFill="1" applyBorder="1" applyAlignment="1">
      <alignment horizontal="center" vertical="center"/>
    </xf>
    <xf numFmtId="49" fontId="17" fillId="0" borderId="83" xfId="0" applyNumberFormat="1" applyFont="1" applyFill="1" applyBorder="1" applyAlignment="1">
      <alignment horizontal="center" vertical="center"/>
    </xf>
    <xf numFmtId="168" fontId="17" fillId="0" borderId="28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/>
    </xf>
    <xf numFmtId="168" fontId="18" fillId="0" borderId="87" xfId="0" applyNumberFormat="1" applyFont="1" applyFill="1" applyBorder="1" applyAlignment="1">
      <alignment vertical="center"/>
    </xf>
    <xf numFmtId="168" fontId="18" fillId="0" borderId="16" xfId="0" applyNumberFormat="1" applyFont="1" applyFill="1" applyBorder="1" applyAlignment="1">
      <alignment vertical="center"/>
    </xf>
    <xf numFmtId="168" fontId="18" fillId="0" borderId="18" xfId="0" applyNumberFormat="1" applyFont="1" applyFill="1" applyBorder="1" applyAlignment="1">
      <alignment vertical="center"/>
    </xf>
    <xf numFmtId="49" fontId="17" fillId="0" borderId="57" xfId="0" applyNumberFormat="1" applyFont="1" applyFill="1" applyBorder="1" applyAlignment="1">
      <alignment horizontal="center" vertical="center"/>
    </xf>
    <xf numFmtId="168" fontId="17" fillId="7" borderId="37" xfId="0" applyNumberFormat="1" applyFont="1" applyFill="1" applyBorder="1" applyAlignment="1">
      <alignment horizontal="center" vertical="center"/>
    </xf>
    <xf numFmtId="168" fontId="15" fillId="3" borderId="0" xfId="0" applyNumberFormat="1" applyFont="1" applyFill="1"/>
    <xf numFmtId="3" fontId="4" fillId="0" borderId="14" xfId="0" applyNumberFormat="1" applyFont="1" applyFill="1" applyBorder="1"/>
    <xf numFmtId="41" fontId="54" fillId="0" borderId="14" xfId="0" applyNumberFormat="1" applyFont="1" applyFill="1" applyBorder="1"/>
    <xf numFmtId="3" fontId="0" fillId="0" borderId="14" xfId="0" applyNumberFormat="1" applyBorder="1"/>
    <xf numFmtId="0" fontId="0" fillId="0" borderId="14" xfId="0" applyBorder="1"/>
    <xf numFmtId="0" fontId="0" fillId="0" borderId="0" xfId="0" applyFill="1"/>
    <xf numFmtId="3" fontId="0" fillId="0" borderId="0" xfId="0" applyNumberFormat="1" applyFill="1"/>
    <xf numFmtId="0" fontId="0" fillId="0" borderId="14" xfId="0" applyFill="1" applyBorder="1"/>
    <xf numFmtId="3" fontId="0" fillId="0" borderId="14" xfId="0" applyNumberFormat="1" applyFill="1" applyBorder="1"/>
    <xf numFmtId="0" fontId="0" fillId="8" borderId="14" xfId="0" applyFill="1" applyBorder="1"/>
    <xf numFmtId="3" fontId="0" fillId="8" borderId="14" xfId="0" applyNumberFormat="1" applyFill="1" applyBorder="1"/>
    <xf numFmtId="3" fontId="4" fillId="8" borderId="14" xfId="0" applyNumberFormat="1" applyFont="1" applyFill="1" applyBorder="1"/>
    <xf numFmtId="41" fontId="54" fillId="8" borderId="14" xfId="0" applyNumberFormat="1" applyFont="1" applyFill="1" applyBorder="1"/>
    <xf numFmtId="0" fontId="0" fillId="0" borderId="0" xfId="0" applyAlignment="1">
      <alignment horizontal="center"/>
    </xf>
    <xf numFmtId="168" fontId="18" fillId="0" borderId="51" xfId="0" applyNumberFormat="1" applyFont="1" applyFill="1" applyBorder="1" applyAlignment="1">
      <alignment horizontal="left" vertical="center"/>
    </xf>
    <xf numFmtId="168" fontId="18" fillId="0" borderId="27" xfId="0" applyNumberFormat="1" applyFont="1" applyFill="1" applyBorder="1" applyAlignment="1">
      <alignment horizontal="left" vertical="center"/>
    </xf>
    <xf numFmtId="168" fontId="16" fillId="0" borderId="26" xfId="0" applyNumberFormat="1" applyFont="1" applyFill="1" applyBorder="1" applyAlignment="1">
      <alignment horizontal="right" vertical="center"/>
    </xf>
    <xf numFmtId="168" fontId="16" fillId="0" borderId="27" xfId="0" applyNumberFormat="1" applyFont="1" applyFill="1" applyBorder="1" applyAlignment="1">
      <alignment horizontal="right" vertical="center"/>
    </xf>
    <xf numFmtId="168" fontId="16" fillId="0" borderId="15" xfId="0" applyNumberFormat="1" applyFont="1" applyFill="1" applyBorder="1" applyAlignment="1">
      <alignment horizontal="right" vertical="center"/>
    </xf>
    <xf numFmtId="168" fontId="21" fillId="6" borderId="6" xfId="5" applyNumberFormat="1" applyFont="1" applyFill="1" applyBorder="1" applyAlignment="1">
      <alignment horizontal="center" vertical="center" wrapText="1"/>
    </xf>
    <xf numFmtId="168" fontId="21" fillId="6" borderId="8" xfId="5" applyNumberFormat="1" applyFont="1" applyFill="1" applyBorder="1" applyAlignment="1">
      <alignment horizontal="center" vertical="center" wrapText="1"/>
    </xf>
    <xf numFmtId="168" fontId="21" fillId="6" borderId="7" xfId="5" applyNumberFormat="1" applyFont="1" applyFill="1" applyBorder="1" applyAlignment="1">
      <alignment horizontal="center" vertical="center" wrapText="1"/>
    </xf>
    <xf numFmtId="168" fontId="21" fillId="6" borderId="16" xfId="5" applyNumberFormat="1" applyFont="1" applyFill="1" applyBorder="1" applyAlignment="1">
      <alignment horizontal="center" vertical="center" wrapText="1"/>
    </xf>
    <xf numFmtId="168" fontId="21" fillId="6" borderId="18" xfId="5" applyNumberFormat="1" applyFont="1" applyFill="1" applyBorder="1" applyAlignment="1">
      <alignment horizontal="center" vertical="center" wrapText="1"/>
    </xf>
    <xf numFmtId="168" fontId="21" fillId="6" borderId="17" xfId="5" applyNumberFormat="1" applyFont="1" applyFill="1" applyBorder="1" applyAlignment="1">
      <alignment horizontal="center" vertical="center" wrapText="1"/>
    </xf>
    <xf numFmtId="168" fontId="16" fillId="6" borderId="34" xfId="4" applyNumberFormat="1" applyFont="1" applyFill="1" applyBorder="1" applyAlignment="1">
      <alignment horizontal="center" vertical="center" wrapText="1"/>
    </xf>
    <xf numFmtId="168" fontId="16" fillId="6" borderId="35" xfId="4" applyNumberFormat="1" applyFont="1" applyFill="1" applyBorder="1" applyAlignment="1">
      <alignment horizontal="center" vertical="center" wrapText="1"/>
    </xf>
    <xf numFmtId="168" fontId="16" fillId="6" borderId="36" xfId="4" applyNumberFormat="1" applyFont="1" applyFill="1" applyBorder="1" applyAlignment="1">
      <alignment horizontal="center" vertical="center" wrapText="1"/>
    </xf>
    <xf numFmtId="168" fontId="18" fillId="0" borderId="50" xfId="0" applyNumberFormat="1" applyFont="1" applyFill="1" applyBorder="1" applyAlignment="1">
      <alignment horizontal="left" vertical="center"/>
    </xf>
    <xf numFmtId="168" fontId="18" fillId="0" borderId="10" xfId="0" applyNumberFormat="1" applyFont="1" applyFill="1" applyBorder="1" applyAlignment="1">
      <alignment horizontal="left" vertical="center"/>
    </xf>
    <xf numFmtId="168" fontId="16" fillId="0" borderId="9" xfId="0" applyNumberFormat="1" applyFont="1" applyFill="1" applyBorder="1" applyAlignment="1">
      <alignment horizontal="right" vertical="center"/>
    </xf>
    <xf numFmtId="168" fontId="16" fillId="0" borderId="10" xfId="0" applyNumberFormat="1" applyFont="1" applyFill="1" applyBorder="1" applyAlignment="1">
      <alignment horizontal="right" vertical="center"/>
    </xf>
    <xf numFmtId="168" fontId="16" fillId="0" borderId="11" xfId="0" applyNumberFormat="1" applyFont="1" applyFill="1" applyBorder="1" applyAlignment="1">
      <alignment horizontal="right" vertical="center"/>
    </xf>
    <xf numFmtId="168" fontId="18" fillId="0" borderId="51" xfId="0" applyNumberFormat="1" applyFont="1" applyFill="1" applyBorder="1" applyAlignment="1">
      <alignment horizontal="left" vertical="center" wrapText="1"/>
    </xf>
    <xf numFmtId="168" fontId="18" fillId="0" borderId="27" xfId="0" applyNumberFormat="1" applyFont="1" applyFill="1" applyBorder="1" applyAlignment="1">
      <alignment horizontal="left" vertical="center" wrapText="1"/>
    </xf>
    <xf numFmtId="168" fontId="18" fillId="0" borderId="16" xfId="0" applyNumberFormat="1" applyFont="1" applyFill="1" applyBorder="1" applyAlignment="1">
      <alignment horizontal="left" vertical="center" wrapText="1"/>
    </xf>
    <xf numFmtId="168" fontId="18" fillId="0" borderId="18" xfId="0" applyNumberFormat="1" applyFont="1" applyFill="1" applyBorder="1" applyAlignment="1">
      <alignment horizontal="left" vertical="center" wrapText="1"/>
    </xf>
    <xf numFmtId="168" fontId="16" fillId="0" borderId="47" xfId="0" applyNumberFormat="1" applyFont="1" applyFill="1" applyBorder="1" applyAlignment="1">
      <alignment horizontal="right" vertical="center"/>
    </xf>
    <xf numFmtId="168" fontId="16" fillId="0" borderId="18" xfId="0" applyNumberFormat="1" applyFont="1" applyFill="1" applyBorder="1" applyAlignment="1">
      <alignment horizontal="right" vertical="center"/>
    </xf>
    <xf numFmtId="168" fontId="16" fillId="0" borderId="4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center" vertical="center" wrapText="1"/>
    </xf>
    <xf numFmtId="168" fontId="17" fillId="7" borderId="35" xfId="0" applyNumberFormat="1" applyFont="1" applyFill="1" applyBorder="1" applyAlignment="1">
      <alignment horizontal="center" vertical="center" wrapText="1"/>
    </xf>
    <xf numFmtId="168" fontId="17" fillId="7" borderId="36" xfId="0" applyNumberFormat="1" applyFont="1" applyFill="1" applyBorder="1" applyAlignment="1">
      <alignment horizontal="center" vertical="center" wrapText="1"/>
    </xf>
    <xf numFmtId="168" fontId="16" fillId="7" borderId="35" xfId="0" applyNumberFormat="1" applyFont="1" applyFill="1" applyBorder="1" applyAlignment="1">
      <alignment horizontal="right" vertical="center"/>
    </xf>
    <xf numFmtId="168" fontId="18" fillId="0" borderId="50" xfId="0" applyNumberFormat="1" applyFont="1" applyFill="1" applyBorder="1" applyAlignment="1">
      <alignment horizontal="left" vertical="center" wrapText="1"/>
    </xf>
    <xf numFmtId="168" fontId="18" fillId="0" borderId="10" xfId="0" applyNumberFormat="1" applyFont="1" applyFill="1" applyBorder="1" applyAlignment="1">
      <alignment horizontal="left" vertical="center" wrapText="1"/>
    </xf>
    <xf numFmtId="168" fontId="18" fillId="0" borderId="11" xfId="0" applyNumberFormat="1" applyFont="1" applyFill="1" applyBorder="1" applyAlignment="1">
      <alignment horizontal="left" vertical="center" wrapText="1"/>
    </xf>
    <xf numFmtId="168" fontId="18" fillId="0" borderId="15" xfId="0" applyNumberFormat="1" applyFont="1" applyFill="1" applyBorder="1" applyAlignment="1">
      <alignment horizontal="left" vertical="center" wrapText="1"/>
    </xf>
    <xf numFmtId="168" fontId="18" fillId="0" borderId="51" xfId="0" applyNumberFormat="1" applyFont="1" applyFill="1" applyBorder="1" applyAlignment="1">
      <alignment vertical="center" wrapText="1"/>
    </xf>
    <xf numFmtId="168" fontId="18" fillId="0" borderId="27" xfId="0" applyNumberFormat="1" applyFont="1" applyFill="1" applyBorder="1" applyAlignment="1">
      <alignment vertical="center" wrapText="1"/>
    </xf>
    <xf numFmtId="168" fontId="18" fillId="0" borderId="15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vertical="center" wrapText="1"/>
    </xf>
    <xf numFmtId="168" fontId="18" fillId="0" borderId="4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horizontal="left" vertical="center" wrapText="1"/>
    </xf>
    <xf numFmtId="168" fontId="18" fillId="0" borderId="4" xfId="0" applyNumberFormat="1" applyFont="1" applyFill="1" applyBorder="1" applyAlignment="1">
      <alignment horizontal="left" vertical="center" wrapText="1"/>
    </xf>
    <xf numFmtId="168" fontId="16" fillId="7" borderId="8" xfId="0" applyNumberFormat="1" applyFont="1" applyFill="1" applyBorder="1" applyAlignment="1">
      <alignment horizontal="right" vertical="center"/>
    </xf>
    <xf numFmtId="168" fontId="18" fillId="0" borderId="6" xfId="0" applyNumberFormat="1" applyFont="1" applyFill="1" applyBorder="1" applyAlignment="1">
      <alignment horizontal="left" vertical="center" wrapText="1"/>
    </xf>
    <xf numFmtId="168" fontId="18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left" vertical="center" wrapText="1"/>
    </xf>
    <xf numFmtId="168" fontId="17" fillId="7" borderId="35" xfId="0" applyNumberFormat="1" applyFont="1" applyFill="1" applyBorder="1" applyAlignment="1">
      <alignment horizontal="left" vertical="center" wrapText="1"/>
    </xf>
    <xf numFmtId="168" fontId="17" fillId="7" borderId="36" xfId="0" applyNumberFormat="1" applyFont="1" applyFill="1" applyBorder="1" applyAlignment="1">
      <alignment horizontal="left" vertical="center" wrapText="1"/>
    </xf>
    <xf numFmtId="168" fontId="16" fillId="7" borderId="34" xfId="0" applyNumberFormat="1" applyFont="1" applyFill="1" applyBorder="1" applyAlignment="1">
      <alignment horizontal="right" vertical="center" wrapText="1"/>
    </xf>
    <xf numFmtId="0" fontId="16" fillId="7" borderId="35" xfId="0" applyFont="1" applyFill="1" applyBorder="1" applyAlignment="1">
      <alignment horizontal="right" vertical="center" wrapText="1"/>
    </xf>
    <xf numFmtId="0" fontId="16" fillId="7" borderId="36" xfId="0" applyFont="1" applyFill="1" applyBorder="1" applyAlignment="1">
      <alignment horizontal="right" vertical="center" wrapText="1"/>
    </xf>
    <xf numFmtId="168" fontId="18" fillId="0" borderId="5" xfId="0" applyNumberFormat="1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right" vertical="center"/>
    </xf>
    <xf numFmtId="168" fontId="18" fillId="0" borderId="48" xfId="0" applyNumberFormat="1" applyFont="1" applyFill="1" applyBorder="1" applyAlignment="1">
      <alignment horizontal="left" vertical="center" wrapText="1"/>
    </xf>
    <xf numFmtId="168" fontId="17" fillId="6" borderId="44" xfId="0" applyNumberFormat="1" applyFont="1" applyFill="1" applyBorder="1" applyAlignment="1">
      <alignment horizontal="center" vertical="center"/>
    </xf>
    <xf numFmtId="168" fontId="17" fillId="6" borderId="35" xfId="0" applyNumberFormat="1" applyFont="1" applyFill="1" applyBorder="1" applyAlignment="1">
      <alignment horizontal="center" vertical="center"/>
    </xf>
    <xf numFmtId="168" fontId="17" fillId="6" borderId="49" xfId="0" applyNumberFormat="1" applyFont="1" applyFill="1" applyBorder="1" applyAlignment="1">
      <alignment horizontal="center" vertical="center"/>
    </xf>
    <xf numFmtId="168" fontId="21" fillId="6" borderId="8" xfId="5" applyNumberFormat="1" applyFont="1" applyFill="1" applyBorder="1" applyAlignment="1">
      <alignment horizontal="center" vertical="center"/>
    </xf>
    <xf numFmtId="168" fontId="21" fillId="6" borderId="7" xfId="5" applyNumberFormat="1" applyFont="1" applyFill="1" applyBorder="1" applyAlignment="1">
      <alignment horizontal="center" vertical="center"/>
    </xf>
    <xf numFmtId="168" fontId="21" fillId="6" borderId="16" xfId="5" applyNumberFormat="1" applyFont="1" applyFill="1" applyBorder="1" applyAlignment="1">
      <alignment horizontal="center" vertical="center"/>
    </xf>
    <xf numFmtId="168" fontId="21" fillId="6" borderId="18" xfId="5" applyNumberFormat="1" applyFont="1" applyFill="1" applyBorder="1" applyAlignment="1">
      <alignment horizontal="center" vertical="center"/>
    </xf>
    <xf numFmtId="168" fontId="21" fillId="6" borderId="17" xfId="5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8" fillId="0" borderId="79" xfId="0" applyNumberFormat="1" applyFont="1" applyFill="1" applyBorder="1" applyAlignment="1">
      <alignment vertical="center" wrapText="1"/>
    </xf>
    <xf numFmtId="0" fontId="15" fillId="0" borderId="80" xfId="0" applyFont="1" applyBorder="1" applyAlignment="1">
      <alignment vertical="center" wrapText="1"/>
    </xf>
    <xf numFmtId="0" fontId="15" fillId="0" borderId="81" xfId="0" applyFont="1" applyBorder="1" applyAlignment="1">
      <alignment vertical="center" wrapText="1"/>
    </xf>
    <xf numFmtId="168" fontId="16" fillId="0" borderId="82" xfId="0" applyNumberFormat="1" applyFont="1" applyFill="1" applyBorder="1" applyAlignment="1">
      <alignment horizontal="right" vertical="center"/>
    </xf>
    <xf numFmtId="168" fontId="18" fillId="0" borderId="84" xfId="0" applyNumberFormat="1" applyFont="1" applyFill="1" applyBorder="1" applyAlignment="1">
      <alignment vertical="center" wrapText="1"/>
    </xf>
    <xf numFmtId="0" fontId="15" fillId="0" borderId="85" xfId="0" applyFont="1" applyBorder="1" applyAlignment="1">
      <alignment vertical="center" wrapText="1"/>
    </xf>
    <xf numFmtId="0" fontId="15" fillId="0" borderId="8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8" fontId="17" fillId="7" borderId="44" xfId="0" applyNumberFormat="1" applyFont="1" applyFill="1" applyBorder="1" applyAlignment="1">
      <alignment vertical="center" wrapText="1"/>
    </xf>
    <xf numFmtId="0" fontId="15" fillId="7" borderId="35" xfId="0" applyFont="1" applyFill="1" applyBorder="1" applyAlignment="1">
      <alignment vertical="center" wrapText="1"/>
    </xf>
    <xf numFmtId="0" fontId="15" fillId="7" borderId="36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7" fillId="0" borderId="12" xfId="0" applyFont="1" applyBorder="1"/>
    <xf numFmtId="0" fontId="24" fillId="0" borderId="13" xfId="0" applyFont="1" applyBorder="1" applyAlignment="1">
      <alignment horizontal="center"/>
    </xf>
    <xf numFmtId="0" fontId="0" fillId="0" borderId="12" xfId="0" applyFont="1" applyFill="1" applyBorder="1"/>
    <xf numFmtId="3" fontId="0" fillId="0" borderId="28" xfId="0" applyNumberFormat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10" fontId="24" fillId="0" borderId="28" xfId="1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16" xfId="0" applyFont="1" applyBorder="1"/>
    <xf numFmtId="0" fontId="24" fillId="0" borderId="17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0" fillId="8" borderId="70" xfId="0" applyNumberFormat="1" applyFont="1" applyFill="1" applyBorder="1" applyAlignment="1">
      <alignment horizontal="center"/>
    </xf>
    <xf numFmtId="0" fontId="0" fillId="34" borderId="0" xfId="0" applyFill="1"/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35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2/CPCICHILE%202022/CURSO%20DE%20BASES%20IMPONIBLES%202022/EJERCICIO%201%2014%20D%20N&#186;%203%20%20AT%202021%20%20061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AÑO 2019"/>
      <sheetName val="ANTECEDENTES  "/>
      <sheetName val="BALANCE AÑO 2020"/>
      <sheetName val="ACTIVO DEP F"/>
      <sheetName val="BASE IMPONIBLE"/>
      <sheetName val="R17 14 D3"/>
    </sheetNames>
    <sheetDataSet>
      <sheetData sheetId="0"/>
      <sheetData sheetId="1">
        <row r="16">
          <cell r="E16">
            <v>39080999.769439995</v>
          </cell>
        </row>
        <row r="18">
          <cell r="E18">
            <v>616587.14285714296</v>
          </cell>
        </row>
      </sheetData>
      <sheetData sheetId="2">
        <row r="21">
          <cell r="H21">
            <v>26488373</v>
          </cell>
        </row>
      </sheetData>
      <sheetData sheetId="3">
        <row r="14">
          <cell r="AR14">
            <v>2700000</v>
          </cell>
        </row>
        <row r="17">
          <cell r="BC17">
            <v>11455351.466145834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workbookViewId="0">
      <selection activeCell="E32" sqref="E32"/>
    </sheetView>
  </sheetViews>
  <sheetFormatPr baseColWidth="10" defaultRowHeight="15"/>
  <cols>
    <col min="1" max="1" width="11.42578125" style="172"/>
    <col min="2" max="2" width="6.28515625" customWidth="1"/>
    <col min="3" max="3" width="36.7109375" customWidth="1"/>
    <col min="4" max="4" width="7.140625" customWidth="1"/>
    <col min="7" max="7" width="14.5703125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1:9" ht="15.75" thickBot="1">
      <c r="B2" s="2"/>
    </row>
    <row r="3" spans="1:9">
      <c r="B3" s="171" t="s">
        <v>200</v>
      </c>
      <c r="C3" s="202"/>
      <c r="D3" s="202"/>
      <c r="E3" s="202"/>
      <c r="F3" s="202"/>
      <c r="G3" s="202"/>
      <c r="H3" s="202"/>
      <c r="I3" s="170"/>
    </row>
    <row r="4" spans="1:9">
      <c r="B4" s="203" t="s">
        <v>201</v>
      </c>
      <c r="C4" s="204"/>
      <c r="D4" s="204"/>
      <c r="E4" s="204"/>
      <c r="F4" s="204"/>
      <c r="G4" s="204"/>
      <c r="H4" s="204"/>
      <c r="I4" s="205"/>
    </row>
    <row r="5" spans="1:9" ht="15.75" thickBot="1">
      <c r="B5" s="206"/>
      <c r="C5" s="207"/>
      <c r="D5" s="207"/>
      <c r="E5" s="207"/>
      <c r="F5" s="207"/>
      <c r="G5" s="207"/>
      <c r="H5" s="207"/>
      <c r="I5" s="208"/>
    </row>
    <row r="6" spans="1:9">
      <c r="B6" s="172"/>
      <c r="E6" s="172" t="s">
        <v>54</v>
      </c>
    </row>
    <row r="7" spans="1:9">
      <c r="B7" s="209">
        <v>1</v>
      </c>
      <c r="C7" s="210" t="s">
        <v>244</v>
      </c>
      <c r="D7" s="204"/>
      <c r="G7" s="212"/>
    </row>
    <row r="8" spans="1:9">
      <c r="B8" s="209"/>
      <c r="C8" s="213" t="s">
        <v>245</v>
      </c>
      <c r="D8" s="204"/>
      <c r="E8" s="211">
        <v>14745000</v>
      </c>
      <c r="G8" s="212"/>
    </row>
    <row r="9" spans="1:9">
      <c r="A9" s="217"/>
      <c r="B9" s="209"/>
      <c r="C9" s="213" t="s">
        <v>252</v>
      </c>
      <c r="D9" s="204"/>
      <c r="E9" s="211">
        <v>2450000</v>
      </c>
      <c r="G9" s="212"/>
    </row>
    <row r="10" spans="1:9">
      <c r="B10" s="209"/>
      <c r="C10" s="213" t="s">
        <v>246</v>
      </c>
      <c r="D10" s="204"/>
      <c r="E10" s="211">
        <v>3752309</v>
      </c>
      <c r="G10" s="212"/>
    </row>
    <row r="11" spans="1:9">
      <c r="A11" s="217"/>
      <c r="B11" s="209"/>
      <c r="C11" s="213" t="s">
        <v>251</v>
      </c>
      <c r="D11" s="204"/>
      <c r="E11" s="211">
        <v>0</v>
      </c>
      <c r="G11" s="212"/>
    </row>
    <row r="12" spans="1:9">
      <c r="A12" s="217"/>
      <c r="B12" s="209"/>
      <c r="C12" s="213" t="s">
        <v>247</v>
      </c>
      <c r="D12" s="204"/>
      <c r="E12" s="211">
        <v>12897482</v>
      </c>
      <c r="F12" t="s">
        <v>259</v>
      </c>
      <c r="G12" s="212"/>
    </row>
    <row r="13" spans="1:9">
      <c r="A13" s="217"/>
      <c r="B13" s="209"/>
      <c r="C13" s="213" t="s">
        <v>248</v>
      </c>
      <c r="D13" s="204"/>
      <c r="E13" s="214">
        <v>6419116.466145834</v>
      </c>
      <c r="F13" t="s">
        <v>260</v>
      </c>
      <c r="G13" s="211">
        <f>+E12-E13</f>
        <v>6478365.533854166</v>
      </c>
    </row>
    <row r="14" spans="1:9">
      <c r="B14" s="209">
        <v>2</v>
      </c>
      <c r="C14" s="210" t="s">
        <v>249</v>
      </c>
      <c r="D14" s="204"/>
      <c r="G14" s="212"/>
    </row>
    <row r="15" spans="1:9">
      <c r="B15" s="209"/>
      <c r="C15" s="213" t="s">
        <v>250</v>
      </c>
      <c r="D15" s="204"/>
      <c r="E15" s="211">
        <v>45782814</v>
      </c>
      <c r="F15" t="s">
        <v>254</v>
      </c>
      <c r="G15" s="212"/>
    </row>
    <row r="16" spans="1:9">
      <c r="A16" s="217"/>
      <c r="B16" s="209"/>
      <c r="C16" s="213" t="s">
        <v>253</v>
      </c>
      <c r="D16" s="204"/>
      <c r="E16" s="211">
        <v>3815234.5</v>
      </c>
      <c r="G16" s="212"/>
    </row>
    <row r="17" spans="2:9">
      <c r="B17" s="209"/>
      <c r="C17" s="213" t="s">
        <v>202</v>
      </c>
      <c r="D17" s="204"/>
      <c r="E17" s="211">
        <v>26488373</v>
      </c>
      <c r="F17" s="1"/>
      <c r="G17" s="212"/>
    </row>
    <row r="18" spans="2:9">
      <c r="B18" s="209"/>
      <c r="C18" s="213" t="s">
        <v>203</v>
      </c>
      <c r="D18" s="204"/>
      <c r="E18" s="211">
        <v>124038400</v>
      </c>
      <c r="F18" s="1"/>
      <c r="G18" s="212"/>
    </row>
    <row r="19" spans="2:9">
      <c r="B19" s="209"/>
      <c r="C19" s="213" t="s">
        <v>204</v>
      </c>
      <c r="D19" s="204"/>
      <c r="E19" s="214">
        <v>31009600</v>
      </c>
      <c r="F19" s="1">
        <f>+E18+E19</f>
        <v>155048000</v>
      </c>
      <c r="G19" s="212"/>
    </row>
    <row r="20" spans="2:9" hidden="1">
      <c r="B20" s="209">
        <v>7</v>
      </c>
      <c r="C20" s="215" t="s">
        <v>205</v>
      </c>
      <c r="D20" s="204"/>
    </row>
    <row r="21" spans="2:9" hidden="1">
      <c r="B21" s="209"/>
      <c r="C21" s="216" t="s">
        <v>12</v>
      </c>
      <c r="D21" s="204"/>
      <c r="E21" s="211"/>
    </row>
    <row r="22" spans="2:9" hidden="1">
      <c r="B22" s="209"/>
      <c r="C22" s="216" t="s">
        <v>10</v>
      </c>
      <c r="D22" s="204"/>
      <c r="E22" s="211"/>
    </row>
    <row r="23" spans="2:9" hidden="1">
      <c r="B23" s="209"/>
      <c r="C23" s="216" t="s">
        <v>206</v>
      </c>
      <c r="D23" s="204"/>
      <c r="E23" s="211"/>
    </row>
    <row r="24" spans="2:9" hidden="1">
      <c r="B24" s="209"/>
      <c r="C24" s="216" t="s">
        <v>207</v>
      </c>
      <c r="D24" s="204"/>
      <c r="E24" s="211">
        <v>-15940</v>
      </c>
    </row>
    <row r="25" spans="2:9" hidden="1">
      <c r="B25" s="209"/>
      <c r="C25" s="216" t="s">
        <v>208</v>
      </c>
      <c r="D25" s="204"/>
      <c r="E25" s="211"/>
    </row>
    <row r="26" spans="2:9" hidden="1">
      <c r="B26" s="209"/>
      <c r="C26" s="216" t="s">
        <v>11</v>
      </c>
      <c r="D26" s="204"/>
      <c r="E26" s="211"/>
      <c r="F26" s="204"/>
      <c r="G26" s="204"/>
      <c r="H26" s="204"/>
      <c r="I26" s="204"/>
    </row>
    <row r="27" spans="2:9" hidden="1"/>
    <row r="28" spans="2:9">
      <c r="C28" s="216" t="s">
        <v>271</v>
      </c>
      <c r="E28" s="340">
        <v>15000</v>
      </c>
      <c r="F28" t="s">
        <v>272</v>
      </c>
    </row>
    <row r="30" spans="2:9">
      <c r="E30" s="1"/>
    </row>
    <row r="31" spans="2:9">
      <c r="E31" s="1"/>
    </row>
    <row r="32" spans="2:9">
      <c r="E32" s="1"/>
    </row>
    <row r="33" spans="5:5">
      <c r="E3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31" workbookViewId="0">
      <selection activeCell="L60" sqref="L60"/>
    </sheetView>
  </sheetViews>
  <sheetFormatPr baseColWidth="10" defaultRowHeight="15"/>
  <cols>
    <col min="2" max="2" width="40.42578125" bestFit="1" customWidth="1"/>
  </cols>
  <sheetData>
    <row r="1" spans="1:11">
      <c r="A1" s="251" t="s">
        <v>187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1">
      <c r="A2" s="251" t="s">
        <v>189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1">
      <c r="E3" t="s">
        <v>103</v>
      </c>
      <c r="G3" t="s">
        <v>104</v>
      </c>
      <c r="I3" t="s">
        <v>105</v>
      </c>
    </row>
    <row r="4" spans="1:11">
      <c r="A4" t="s">
        <v>106</v>
      </c>
      <c r="B4" t="s">
        <v>107</v>
      </c>
      <c r="C4" t="s">
        <v>108</v>
      </c>
      <c r="D4" t="s">
        <v>109</v>
      </c>
      <c r="E4" t="s">
        <v>110</v>
      </c>
      <c r="F4" t="s">
        <v>111</v>
      </c>
      <c r="G4" t="s">
        <v>112</v>
      </c>
      <c r="H4" t="s">
        <v>113</v>
      </c>
      <c r="I4" t="s">
        <v>114</v>
      </c>
      <c r="J4" t="s">
        <v>115</v>
      </c>
    </row>
    <row r="5" spans="1:11">
      <c r="A5" s="242">
        <v>101001</v>
      </c>
      <c r="B5" s="242" t="s">
        <v>116</v>
      </c>
      <c r="C5" s="241">
        <v>189309378</v>
      </c>
      <c r="D5" s="241">
        <v>189170012</v>
      </c>
      <c r="E5" s="239">
        <f>+IF(C5-D5&gt;0,C5-D5,0)</f>
        <v>139366</v>
      </c>
      <c r="F5" s="239">
        <f>IF((D5-C5)&gt;0,D5-C5,0)</f>
        <v>0</v>
      </c>
      <c r="G5" s="239">
        <f t="shared" ref="G5:H5" si="0">IF(E5&gt;0,E5,0)</f>
        <v>139366</v>
      </c>
      <c r="H5" s="239">
        <f t="shared" si="0"/>
        <v>0</v>
      </c>
      <c r="I5" s="240">
        <v>0</v>
      </c>
      <c r="J5" s="240">
        <v>0</v>
      </c>
    </row>
    <row r="6" spans="1:11">
      <c r="A6" s="242">
        <v>103002</v>
      </c>
      <c r="B6" s="242" t="s">
        <v>146</v>
      </c>
      <c r="C6" s="241">
        <v>9127000</v>
      </c>
      <c r="D6" s="241">
        <v>9127000</v>
      </c>
      <c r="E6" s="239">
        <f t="shared" ref="E6:E34" si="1">+IF(C6-D6&gt;0,C6-D6,0)</f>
        <v>0</v>
      </c>
      <c r="F6" s="239">
        <f t="shared" ref="F6:F34" si="2">IF((D6-C6)&gt;0,D6-C6,0)</f>
        <v>0</v>
      </c>
      <c r="G6" s="239">
        <f t="shared" ref="G6:G33" si="3">IF(E6&gt;0,E6,0)</f>
        <v>0</v>
      </c>
      <c r="H6" s="239">
        <f t="shared" ref="H6:H33" si="4">IF(F6&gt;0,F6,0)</f>
        <v>0</v>
      </c>
      <c r="I6" s="240">
        <v>0</v>
      </c>
      <c r="J6" s="240">
        <v>0</v>
      </c>
    </row>
    <row r="7" spans="1:11">
      <c r="A7" s="247">
        <v>104001</v>
      </c>
      <c r="B7" s="247" t="s">
        <v>147</v>
      </c>
      <c r="C7" s="248">
        <v>188213970</v>
      </c>
      <c r="D7" s="248">
        <v>188213970</v>
      </c>
      <c r="E7" s="249">
        <f t="shared" si="1"/>
        <v>0</v>
      </c>
      <c r="F7" s="249">
        <f t="shared" si="2"/>
        <v>0</v>
      </c>
      <c r="G7" s="249">
        <f t="shared" si="3"/>
        <v>0</v>
      </c>
      <c r="H7" s="249">
        <f t="shared" si="4"/>
        <v>0</v>
      </c>
      <c r="I7" s="250">
        <v>0</v>
      </c>
      <c r="J7" s="250">
        <v>0</v>
      </c>
    </row>
    <row r="8" spans="1:11">
      <c r="A8" s="247">
        <v>110005</v>
      </c>
      <c r="B8" s="247" t="s">
        <v>148</v>
      </c>
      <c r="C8" s="248">
        <v>6364714</v>
      </c>
      <c r="D8" s="248">
        <v>6364714</v>
      </c>
      <c r="E8" s="249">
        <f t="shared" si="1"/>
        <v>0</v>
      </c>
      <c r="F8" s="249">
        <f t="shared" si="2"/>
        <v>0</v>
      </c>
      <c r="G8" s="249">
        <f t="shared" si="3"/>
        <v>0</v>
      </c>
      <c r="H8" s="249">
        <f t="shared" si="4"/>
        <v>0</v>
      </c>
      <c r="I8" s="250">
        <v>0</v>
      </c>
      <c r="J8" s="250">
        <v>0</v>
      </c>
      <c r="K8" t="s">
        <v>261</v>
      </c>
    </row>
    <row r="9" spans="1:11">
      <c r="A9" s="242">
        <v>113001</v>
      </c>
      <c r="B9" s="242" t="s">
        <v>149</v>
      </c>
      <c r="C9" s="241">
        <v>2766555</v>
      </c>
      <c r="D9" s="241">
        <v>1065605</v>
      </c>
      <c r="E9" s="239">
        <f t="shared" si="1"/>
        <v>1700950</v>
      </c>
      <c r="F9" s="239">
        <f t="shared" si="2"/>
        <v>0</v>
      </c>
      <c r="G9" s="239">
        <f t="shared" si="3"/>
        <v>1700950</v>
      </c>
      <c r="H9" s="239">
        <f t="shared" si="4"/>
        <v>0</v>
      </c>
      <c r="I9" s="240">
        <v>0</v>
      </c>
      <c r="J9" s="240">
        <v>0</v>
      </c>
    </row>
    <row r="10" spans="1:11">
      <c r="A10" s="242">
        <v>113002</v>
      </c>
      <c r="B10" s="242" t="s">
        <v>117</v>
      </c>
      <c r="C10" s="241">
        <v>22967137</v>
      </c>
      <c r="D10" s="241">
        <v>22472248</v>
      </c>
      <c r="E10" s="239">
        <f t="shared" si="1"/>
        <v>494889</v>
      </c>
      <c r="F10" s="239">
        <f t="shared" si="2"/>
        <v>0</v>
      </c>
      <c r="G10" s="239">
        <f t="shared" si="3"/>
        <v>494889</v>
      </c>
      <c r="H10" s="239">
        <f t="shared" si="4"/>
        <v>0</v>
      </c>
      <c r="I10" s="240">
        <v>0</v>
      </c>
      <c r="J10" s="240">
        <v>0</v>
      </c>
    </row>
    <row r="11" spans="1:11">
      <c r="A11" s="242">
        <v>113009</v>
      </c>
      <c r="B11" s="242" t="s">
        <v>150</v>
      </c>
      <c r="C11" s="241">
        <v>7576949</v>
      </c>
      <c r="D11" s="241">
        <v>7576949</v>
      </c>
      <c r="E11" s="239">
        <f t="shared" si="1"/>
        <v>0</v>
      </c>
      <c r="F11" s="239">
        <f t="shared" si="2"/>
        <v>0</v>
      </c>
      <c r="G11" s="239">
        <f t="shared" si="3"/>
        <v>0</v>
      </c>
      <c r="H11" s="239">
        <f t="shared" si="4"/>
        <v>0</v>
      </c>
      <c r="I11" s="240">
        <v>0</v>
      </c>
      <c r="J11" s="240">
        <v>0</v>
      </c>
    </row>
    <row r="12" spans="1:11">
      <c r="A12" s="242">
        <v>113010</v>
      </c>
      <c r="B12" s="242" t="s">
        <v>139</v>
      </c>
      <c r="C12" s="241">
        <v>520385</v>
      </c>
      <c r="D12" s="242">
        <v>0</v>
      </c>
      <c r="E12" s="239">
        <f t="shared" si="1"/>
        <v>520385</v>
      </c>
      <c r="F12" s="239">
        <f t="shared" si="2"/>
        <v>0</v>
      </c>
      <c r="G12" s="239">
        <f t="shared" si="3"/>
        <v>520385</v>
      </c>
      <c r="H12" s="239">
        <f t="shared" si="4"/>
        <v>0</v>
      </c>
      <c r="I12" s="240">
        <v>0</v>
      </c>
      <c r="J12" s="240">
        <v>0</v>
      </c>
    </row>
    <row r="13" spans="1:11">
      <c r="A13" s="242">
        <v>129002</v>
      </c>
      <c r="B13" s="242" t="s">
        <v>190</v>
      </c>
      <c r="C13" s="241">
        <v>433185</v>
      </c>
      <c r="D13" s="241">
        <v>433185</v>
      </c>
      <c r="E13" s="239">
        <f t="shared" si="1"/>
        <v>0</v>
      </c>
      <c r="F13" s="239">
        <f t="shared" si="2"/>
        <v>0</v>
      </c>
      <c r="G13" s="239">
        <f t="shared" si="3"/>
        <v>0</v>
      </c>
      <c r="H13" s="239">
        <f t="shared" si="4"/>
        <v>0</v>
      </c>
      <c r="I13" s="240">
        <v>0</v>
      </c>
      <c r="J13" s="240">
        <v>0</v>
      </c>
    </row>
    <row r="14" spans="1:11">
      <c r="A14" s="242">
        <v>129003</v>
      </c>
      <c r="B14" s="242" t="s">
        <v>191</v>
      </c>
      <c r="C14" s="241">
        <v>298740</v>
      </c>
      <c r="D14" s="241">
        <v>298740</v>
      </c>
      <c r="E14" s="239">
        <f t="shared" si="1"/>
        <v>0</v>
      </c>
      <c r="F14" s="239">
        <f t="shared" si="2"/>
        <v>0</v>
      </c>
      <c r="G14" s="239">
        <f t="shared" si="3"/>
        <v>0</v>
      </c>
      <c r="H14" s="239">
        <f t="shared" si="4"/>
        <v>0</v>
      </c>
      <c r="I14" s="240">
        <v>0</v>
      </c>
      <c r="J14" s="240">
        <v>0</v>
      </c>
    </row>
    <row r="15" spans="1:11">
      <c r="A15" s="247">
        <v>129004</v>
      </c>
      <c r="B15" s="247" t="s">
        <v>140</v>
      </c>
      <c r="C15" s="248">
        <v>12897482</v>
      </c>
      <c r="D15" s="247">
        <v>0</v>
      </c>
      <c r="E15" s="249">
        <f t="shared" si="1"/>
        <v>12897482</v>
      </c>
      <c r="F15" s="249">
        <f t="shared" si="2"/>
        <v>0</v>
      </c>
      <c r="G15" s="249">
        <f t="shared" si="3"/>
        <v>12897482</v>
      </c>
      <c r="H15" s="249">
        <f t="shared" si="4"/>
        <v>0</v>
      </c>
      <c r="I15" s="250">
        <v>0</v>
      </c>
      <c r="J15" s="250">
        <v>0</v>
      </c>
    </row>
    <row r="16" spans="1:11">
      <c r="A16" s="247">
        <v>129008</v>
      </c>
      <c r="B16" s="247" t="s">
        <v>151</v>
      </c>
      <c r="C16" s="248">
        <v>45782814</v>
      </c>
      <c r="D16" s="247">
        <v>0</v>
      </c>
      <c r="E16" s="249">
        <f t="shared" si="1"/>
        <v>45782814</v>
      </c>
      <c r="F16" s="249">
        <f t="shared" si="2"/>
        <v>0</v>
      </c>
      <c r="G16" s="249">
        <f t="shared" si="3"/>
        <v>45782814</v>
      </c>
      <c r="H16" s="249">
        <f t="shared" si="4"/>
        <v>0</v>
      </c>
      <c r="I16" s="250">
        <v>0</v>
      </c>
      <c r="J16" s="250">
        <v>0</v>
      </c>
      <c r="K16" t="s">
        <v>262</v>
      </c>
    </row>
    <row r="17" spans="1:14">
      <c r="A17" s="247">
        <v>129009</v>
      </c>
      <c r="B17" s="247" t="s">
        <v>152</v>
      </c>
      <c r="C17" s="248">
        <v>17264440</v>
      </c>
      <c r="D17" s="247">
        <v>0</v>
      </c>
      <c r="E17" s="249">
        <f t="shared" si="1"/>
        <v>17264440</v>
      </c>
      <c r="F17" s="249">
        <f t="shared" si="2"/>
        <v>0</v>
      </c>
      <c r="G17" s="249">
        <f t="shared" si="3"/>
        <v>17264440</v>
      </c>
      <c r="H17" s="249">
        <f t="shared" si="4"/>
        <v>0</v>
      </c>
      <c r="I17" s="250">
        <v>0</v>
      </c>
      <c r="J17" s="250">
        <v>0</v>
      </c>
    </row>
    <row r="18" spans="1:14">
      <c r="A18" s="247">
        <v>129016</v>
      </c>
      <c r="B18" s="247" t="s">
        <v>141</v>
      </c>
      <c r="C18" s="247">
        <v>0</v>
      </c>
      <c r="D18" s="248">
        <f>+'[5]ACTIVO DEP F'!BC17</f>
        <v>11455351.466145834</v>
      </c>
      <c r="E18" s="249">
        <f t="shared" si="1"/>
        <v>0</v>
      </c>
      <c r="F18" s="249">
        <f t="shared" si="2"/>
        <v>11455351.466145834</v>
      </c>
      <c r="G18" s="249">
        <f t="shared" si="3"/>
        <v>0</v>
      </c>
      <c r="H18" s="249">
        <f t="shared" si="4"/>
        <v>11455351.466145834</v>
      </c>
      <c r="I18" s="250">
        <v>0</v>
      </c>
      <c r="J18" s="250">
        <v>0</v>
      </c>
      <c r="M18" s="1">
        <f>+D18</f>
        <v>11455351.466145834</v>
      </c>
      <c r="N18" s="1"/>
    </row>
    <row r="19" spans="1:14">
      <c r="A19" s="247">
        <v>129017</v>
      </c>
      <c r="B19" s="247" t="s">
        <v>192</v>
      </c>
      <c r="C19" s="247">
        <v>0</v>
      </c>
      <c r="D19" s="248">
        <f>+C62+'[5]ANTECEDENTES  '!E18</f>
        <v>3174282.1428571427</v>
      </c>
      <c r="E19" s="249">
        <f t="shared" si="1"/>
        <v>0</v>
      </c>
      <c r="F19" s="249">
        <f t="shared" si="2"/>
        <v>3174282.1428571427</v>
      </c>
      <c r="G19" s="249">
        <f t="shared" si="3"/>
        <v>0</v>
      </c>
      <c r="H19" s="249">
        <f t="shared" si="4"/>
        <v>3174282.1428571427</v>
      </c>
      <c r="I19" s="250">
        <v>0</v>
      </c>
      <c r="J19" s="250">
        <v>0</v>
      </c>
      <c r="M19" s="1">
        <f>+'ANTECEDENTES  '!E13</f>
        <v>6419116.466145834</v>
      </c>
      <c r="N19" s="1"/>
    </row>
    <row r="20" spans="1:14">
      <c r="A20" s="247">
        <v>201004</v>
      </c>
      <c r="B20" s="247" t="s">
        <v>153</v>
      </c>
      <c r="C20" s="248">
        <v>6633726</v>
      </c>
      <c r="D20" s="248">
        <v>11606385</v>
      </c>
      <c r="E20" s="249">
        <f t="shared" si="1"/>
        <v>0</v>
      </c>
      <c r="F20" s="249">
        <f t="shared" si="2"/>
        <v>4972659</v>
      </c>
      <c r="G20" s="249">
        <f t="shared" si="3"/>
        <v>0</v>
      </c>
      <c r="H20" s="249">
        <f t="shared" si="4"/>
        <v>4972659</v>
      </c>
      <c r="I20" s="250">
        <v>0</v>
      </c>
      <c r="J20" s="250">
        <v>0</v>
      </c>
      <c r="M20" s="1">
        <f>+M18-M19</f>
        <v>5036235</v>
      </c>
      <c r="N20" s="1"/>
    </row>
    <row r="21" spans="1:14">
      <c r="A21" s="247">
        <v>202001</v>
      </c>
      <c r="B21" s="247" t="s">
        <v>136</v>
      </c>
      <c r="C21" s="248">
        <v>149223483</v>
      </c>
      <c r="D21" s="248">
        <v>175711856</v>
      </c>
      <c r="E21" s="249">
        <f t="shared" si="1"/>
        <v>0</v>
      </c>
      <c r="F21" s="249">
        <f t="shared" si="2"/>
        <v>26488373</v>
      </c>
      <c r="G21" s="249">
        <f t="shared" si="3"/>
        <v>0</v>
      </c>
      <c r="H21" s="249">
        <f t="shared" si="4"/>
        <v>26488373</v>
      </c>
      <c r="I21" s="250">
        <v>0</v>
      </c>
      <c r="J21" s="250">
        <v>0</v>
      </c>
      <c r="N21" s="1">
        <f>+H21/1.19</f>
        <v>22259136.974789917</v>
      </c>
    </row>
    <row r="22" spans="1:14">
      <c r="A22" s="247">
        <v>202002</v>
      </c>
      <c r="B22" s="247" t="s">
        <v>154</v>
      </c>
      <c r="C22" s="248">
        <v>15481721</v>
      </c>
      <c r="D22" s="248">
        <v>17035038</v>
      </c>
      <c r="E22" s="249">
        <f t="shared" si="1"/>
        <v>0</v>
      </c>
      <c r="F22" s="249">
        <f t="shared" si="2"/>
        <v>1553317</v>
      </c>
      <c r="G22" s="249">
        <f t="shared" si="3"/>
        <v>0</v>
      </c>
      <c r="H22" s="249">
        <f t="shared" si="4"/>
        <v>1553317</v>
      </c>
      <c r="I22" s="250">
        <v>0</v>
      </c>
      <c r="J22" s="250">
        <v>0</v>
      </c>
    </row>
    <row r="23" spans="1:14">
      <c r="A23" s="242">
        <v>202003</v>
      </c>
      <c r="B23" s="242" t="s">
        <v>155</v>
      </c>
      <c r="C23" s="241">
        <v>936325</v>
      </c>
      <c r="D23" s="241">
        <v>936325</v>
      </c>
      <c r="E23" s="239">
        <f t="shared" si="1"/>
        <v>0</v>
      </c>
      <c r="F23" s="239">
        <f t="shared" si="2"/>
        <v>0</v>
      </c>
      <c r="G23" s="239">
        <f t="shared" si="3"/>
        <v>0</v>
      </c>
      <c r="H23" s="239">
        <f t="shared" si="4"/>
        <v>0</v>
      </c>
      <c r="I23" s="240">
        <v>0</v>
      </c>
      <c r="J23" s="240">
        <v>0</v>
      </c>
    </row>
    <row r="24" spans="1:14">
      <c r="A24" s="247">
        <v>202006</v>
      </c>
      <c r="B24" s="247" t="s">
        <v>156</v>
      </c>
      <c r="C24" s="248">
        <v>5662437</v>
      </c>
      <c r="D24" s="248">
        <v>6254680</v>
      </c>
      <c r="E24" s="249">
        <f t="shared" si="1"/>
        <v>0</v>
      </c>
      <c r="F24" s="249">
        <f t="shared" si="2"/>
        <v>592243</v>
      </c>
      <c r="G24" s="249">
        <f t="shared" si="3"/>
        <v>0</v>
      </c>
      <c r="H24" s="249">
        <f t="shared" si="4"/>
        <v>592243</v>
      </c>
      <c r="I24" s="250">
        <v>0</v>
      </c>
      <c r="J24" s="250">
        <v>0</v>
      </c>
    </row>
    <row r="25" spans="1:14">
      <c r="A25" s="242">
        <v>202007</v>
      </c>
      <c r="B25" s="242" t="s">
        <v>157</v>
      </c>
      <c r="C25" s="241">
        <v>518604</v>
      </c>
      <c r="D25" s="241">
        <v>518604</v>
      </c>
      <c r="E25" s="239">
        <f t="shared" si="1"/>
        <v>0</v>
      </c>
      <c r="F25" s="239">
        <f t="shared" si="2"/>
        <v>0</v>
      </c>
      <c r="G25" s="239">
        <f t="shared" si="3"/>
        <v>0</v>
      </c>
      <c r="H25" s="239">
        <f t="shared" si="4"/>
        <v>0</v>
      </c>
      <c r="I25" s="240">
        <v>0</v>
      </c>
      <c r="J25" s="240">
        <v>0</v>
      </c>
    </row>
    <row r="26" spans="1:14">
      <c r="A26" s="242">
        <v>203001</v>
      </c>
      <c r="B26" s="242" t="s">
        <v>158</v>
      </c>
      <c r="C26" s="242">
        <v>0</v>
      </c>
      <c r="D26" s="241">
        <v>14004000</v>
      </c>
      <c r="E26" s="239">
        <f t="shared" si="1"/>
        <v>0</v>
      </c>
      <c r="F26" s="239">
        <f t="shared" si="2"/>
        <v>14004000</v>
      </c>
      <c r="G26" s="239">
        <f t="shared" si="3"/>
        <v>0</v>
      </c>
      <c r="H26" s="239">
        <f t="shared" si="4"/>
        <v>14004000</v>
      </c>
      <c r="I26" s="240">
        <v>0</v>
      </c>
      <c r="J26" s="240">
        <v>0</v>
      </c>
    </row>
    <row r="27" spans="1:14">
      <c r="A27" s="242">
        <v>204027</v>
      </c>
      <c r="B27" s="242" t="s">
        <v>159</v>
      </c>
      <c r="C27" s="241">
        <v>80700</v>
      </c>
      <c r="D27" s="241">
        <v>368990</v>
      </c>
      <c r="E27" s="239">
        <f t="shared" si="1"/>
        <v>0</v>
      </c>
      <c r="F27" s="239">
        <f t="shared" si="2"/>
        <v>288290</v>
      </c>
      <c r="G27" s="239">
        <f t="shared" si="3"/>
        <v>0</v>
      </c>
      <c r="H27" s="239">
        <f t="shared" si="4"/>
        <v>288290</v>
      </c>
      <c r="I27" s="240">
        <v>0</v>
      </c>
      <c r="J27" s="240">
        <v>0</v>
      </c>
    </row>
    <row r="28" spans="1:14">
      <c r="A28" s="242">
        <v>205001</v>
      </c>
      <c r="B28" s="242" t="s">
        <v>160</v>
      </c>
      <c r="C28" s="241">
        <v>30050970</v>
      </c>
      <c r="D28" s="241">
        <v>30050970</v>
      </c>
      <c r="E28" s="239">
        <f t="shared" si="1"/>
        <v>0</v>
      </c>
      <c r="F28" s="239">
        <f t="shared" si="2"/>
        <v>0</v>
      </c>
      <c r="G28" s="239">
        <f t="shared" si="3"/>
        <v>0</v>
      </c>
      <c r="H28" s="239">
        <f t="shared" si="4"/>
        <v>0</v>
      </c>
      <c r="I28" s="240">
        <v>0</v>
      </c>
      <c r="J28" s="240">
        <v>0</v>
      </c>
    </row>
    <row r="29" spans="1:14">
      <c r="A29" s="242">
        <v>205003</v>
      </c>
      <c r="B29" s="242" t="s">
        <v>161</v>
      </c>
      <c r="C29" s="241">
        <v>112781</v>
      </c>
      <c r="D29" s="241">
        <v>112781</v>
      </c>
      <c r="E29" s="239">
        <f t="shared" si="1"/>
        <v>0</v>
      </c>
      <c r="F29" s="239">
        <f t="shared" si="2"/>
        <v>0</v>
      </c>
      <c r="G29" s="239">
        <f t="shared" si="3"/>
        <v>0</v>
      </c>
      <c r="H29" s="239">
        <f t="shared" si="4"/>
        <v>0</v>
      </c>
      <c r="I29" s="240">
        <v>0</v>
      </c>
      <c r="J29" s="240">
        <v>0</v>
      </c>
    </row>
    <row r="30" spans="1:14">
      <c r="A30" s="242">
        <v>220002</v>
      </c>
      <c r="B30" s="242" t="s">
        <v>162</v>
      </c>
      <c r="C30" s="242">
        <v>0</v>
      </c>
      <c r="D30" s="241">
        <v>5000000</v>
      </c>
      <c r="E30" s="239">
        <f t="shared" si="1"/>
        <v>0</v>
      </c>
      <c r="F30" s="239">
        <f t="shared" si="2"/>
        <v>5000000</v>
      </c>
      <c r="G30" s="239">
        <f t="shared" si="3"/>
        <v>0</v>
      </c>
      <c r="H30" s="239">
        <f t="shared" si="4"/>
        <v>5000000</v>
      </c>
      <c r="I30" s="240">
        <v>0</v>
      </c>
      <c r="J30" s="240">
        <v>0</v>
      </c>
    </row>
    <row r="31" spans="1:14">
      <c r="A31" s="242">
        <v>301001</v>
      </c>
      <c r="B31" s="242" t="s">
        <v>118</v>
      </c>
      <c r="C31" s="242">
        <v>0</v>
      </c>
      <c r="D31" s="241">
        <v>2000000</v>
      </c>
      <c r="E31" s="239">
        <f t="shared" si="1"/>
        <v>0</v>
      </c>
      <c r="F31" s="239">
        <f t="shared" si="2"/>
        <v>2000000</v>
      </c>
      <c r="G31" s="239">
        <f t="shared" si="3"/>
        <v>0</v>
      </c>
      <c r="H31" s="239">
        <f t="shared" si="4"/>
        <v>2000000</v>
      </c>
      <c r="I31" s="240">
        <v>0</v>
      </c>
      <c r="J31" s="240">
        <v>0</v>
      </c>
    </row>
    <row r="32" spans="1:14">
      <c r="A32" s="242">
        <v>302001</v>
      </c>
      <c r="B32" s="242" t="s">
        <v>163</v>
      </c>
      <c r="C32" s="241">
        <v>3665103</v>
      </c>
      <c r="D32" s="241">
        <v>12364</v>
      </c>
      <c r="E32" s="239">
        <f t="shared" si="1"/>
        <v>3652739</v>
      </c>
      <c r="F32" s="239">
        <f t="shared" si="2"/>
        <v>0</v>
      </c>
      <c r="G32" s="239">
        <f t="shared" si="3"/>
        <v>3652739</v>
      </c>
      <c r="H32" s="239">
        <f t="shared" si="4"/>
        <v>0</v>
      </c>
      <c r="I32" s="240">
        <v>0</v>
      </c>
      <c r="J32" s="240">
        <v>0</v>
      </c>
    </row>
    <row r="33" spans="1:12">
      <c r="A33" s="242">
        <v>302002</v>
      </c>
      <c r="B33" s="242" t="s">
        <v>137</v>
      </c>
      <c r="C33" s="241">
        <v>1613269</v>
      </c>
      <c r="D33" s="241">
        <v>1613269</v>
      </c>
      <c r="E33" s="239">
        <f t="shared" si="1"/>
        <v>0</v>
      </c>
      <c r="F33" s="239">
        <f t="shared" si="2"/>
        <v>0</v>
      </c>
      <c r="G33" s="239">
        <f t="shared" si="3"/>
        <v>0</v>
      </c>
      <c r="H33" s="239">
        <f t="shared" si="4"/>
        <v>0</v>
      </c>
      <c r="I33" s="240">
        <v>0</v>
      </c>
      <c r="J33" s="240">
        <v>0</v>
      </c>
    </row>
    <row r="34" spans="1:12">
      <c r="A34" s="247">
        <v>501001</v>
      </c>
      <c r="B34" s="247" t="s">
        <v>164</v>
      </c>
      <c r="C34" s="248">
        <v>3115000</v>
      </c>
      <c r="D34" s="248">
        <v>158163000</v>
      </c>
      <c r="E34" s="249">
        <f t="shared" si="1"/>
        <v>0</v>
      </c>
      <c r="F34" s="249">
        <f t="shared" si="2"/>
        <v>155048000</v>
      </c>
      <c r="G34" s="249"/>
      <c r="H34" s="249"/>
      <c r="I34" s="249">
        <f t="shared" ref="I34:J34" si="5">IF(E34&gt;0,E34,0)</f>
        <v>0</v>
      </c>
      <c r="J34" s="249">
        <f t="shared" si="5"/>
        <v>155048000</v>
      </c>
      <c r="L34" s="1">
        <f>+'ANTECEDENTES  '!E18</f>
        <v>124038400</v>
      </c>
    </row>
    <row r="35" spans="1:12">
      <c r="A35" s="242">
        <v>503002</v>
      </c>
      <c r="B35" s="242" t="s">
        <v>165</v>
      </c>
      <c r="C35" s="242">
        <v>0</v>
      </c>
      <c r="D35" s="241">
        <v>20903</v>
      </c>
      <c r="E35" s="239">
        <f t="shared" ref="E35:E63" si="6">+IF(C35-D35&gt;0,C35-D35,0)</f>
        <v>0</v>
      </c>
      <c r="F35" s="239">
        <f t="shared" ref="F35:F63" si="7">IF((D35-C35)&gt;0,D35-C35,0)</f>
        <v>20903</v>
      </c>
      <c r="G35" s="239"/>
      <c r="H35" s="239"/>
      <c r="I35" s="239">
        <f t="shared" ref="I35:I63" si="8">IF(E35&gt;0,E35,0)</f>
        <v>0</v>
      </c>
      <c r="J35" s="239">
        <f t="shared" ref="J35:J63" si="9">IF(F35&gt;0,F35,0)</f>
        <v>20903</v>
      </c>
      <c r="L35" s="1">
        <f>+'ANTECEDENTES  '!E19</f>
        <v>31009600</v>
      </c>
    </row>
    <row r="36" spans="1:12">
      <c r="A36" s="242">
        <v>503003</v>
      </c>
      <c r="B36" s="242" t="s">
        <v>142</v>
      </c>
      <c r="C36" s="241">
        <v>1548</v>
      </c>
      <c r="D36" s="241">
        <v>4844</v>
      </c>
      <c r="E36" s="239">
        <f t="shared" si="6"/>
        <v>0</v>
      </c>
      <c r="F36" s="239">
        <f t="shared" si="7"/>
        <v>3296</v>
      </c>
      <c r="G36" s="239"/>
      <c r="H36" s="239"/>
      <c r="I36" s="239">
        <f t="shared" si="8"/>
        <v>0</v>
      </c>
      <c r="J36" s="239">
        <f t="shared" si="9"/>
        <v>3296</v>
      </c>
    </row>
    <row r="37" spans="1:12">
      <c r="A37" s="247">
        <v>401001</v>
      </c>
      <c r="B37" s="247" t="s">
        <v>94</v>
      </c>
      <c r="C37" s="248">
        <v>6364714</v>
      </c>
      <c r="D37" s="247">
        <v>0</v>
      </c>
      <c r="E37" s="249">
        <f t="shared" si="6"/>
        <v>6364714</v>
      </c>
      <c r="F37" s="249">
        <f t="shared" si="7"/>
        <v>0</v>
      </c>
      <c r="G37" s="249"/>
      <c r="H37" s="249"/>
      <c r="I37" s="249">
        <f t="shared" si="8"/>
        <v>6364714</v>
      </c>
      <c r="J37" s="249">
        <f t="shared" si="9"/>
        <v>0</v>
      </c>
    </row>
    <row r="38" spans="1:12">
      <c r="A38" s="247">
        <v>411001</v>
      </c>
      <c r="B38" s="247" t="s">
        <v>166</v>
      </c>
      <c r="C38" s="248">
        <v>29438863</v>
      </c>
      <c r="D38" s="247">
        <v>0</v>
      </c>
      <c r="E38" s="249">
        <f t="shared" si="6"/>
        <v>29438863</v>
      </c>
      <c r="F38" s="249">
        <f t="shared" si="7"/>
        <v>0</v>
      </c>
      <c r="G38" s="249"/>
      <c r="H38" s="249"/>
      <c r="I38" s="249">
        <f t="shared" si="8"/>
        <v>29438863</v>
      </c>
      <c r="J38" s="249">
        <f t="shared" si="9"/>
        <v>0</v>
      </c>
    </row>
    <row r="39" spans="1:12">
      <c r="A39" s="242">
        <v>411007</v>
      </c>
      <c r="B39" s="242" t="s">
        <v>168</v>
      </c>
      <c r="C39" s="241">
        <v>1619931</v>
      </c>
      <c r="D39" s="242">
        <v>0</v>
      </c>
      <c r="E39" s="239">
        <f t="shared" si="6"/>
        <v>1619931</v>
      </c>
      <c r="F39" s="239">
        <f t="shared" si="7"/>
        <v>0</v>
      </c>
      <c r="G39" s="239"/>
      <c r="H39" s="239"/>
      <c r="I39" s="239">
        <f t="shared" si="8"/>
        <v>1619931</v>
      </c>
      <c r="J39" s="239">
        <f t="shared" si="9"/>
        <v>0</v>
      </c>
    </row>
    <row r="40" spans="1:12">
      <c r="A40" s="242">
        <v>411016</v>
      </c>
      <c r="B40" s="242" t="s">
        <v>169</v>
      </c>
      <c r="C40" s="241">
        <v>84017</v>
      </c>
      <c r="D40" s="242">
        <v>0</v>
      </c>
      <c r="E40" s="239">
        <f t="shared" si="6"/>
        <v>84017</v>
      </c>
      <c r="F40" s="239">
        <f t="shared" si="7"/>
        <v>0</v>
      </c>
      <c r="G40" s="239"/>
      <c r="H40" s="239"/>
      <c r="I40" s="239">
        <f t="shared" si="8"/>
        <v>84017</v>
      </c>
      <c r="J40" s="239">
        <f t="shared" si="9"/>
        <v>0</v>
      </c>
    </row>
    <row r="41" spans="1:12">
      <c r="A41" s="242">
        <v>412006</v>
      </c>
      <c r="B41" s="242" t="s">
        <v>61</v>
      </c>
      <c r="C41" s="241">
        <v>1049106</v>
      </c>
      <c r="D41" s="242">
        <v>0</v>
      </c>
      <c r="E41" s="239">
        <f t="shared" si="6"/>
        <v>1049106</v>
      </c>
      <c r="F41" s="239">
        <f t="shared" si="7"/>
        <v>0</v>
      </c>
      <c r="G41" s="239"/>
      <c r="H41" s="239"/>
      <c r="I41" s="239">
        <f t="shared" si="8"/>
        <v>1049106</v>
      </c>
      <c r="J41" s="239">
        <f t="shared" si="9"/>
        <v>0</v>
      </c>
    </row>
    <row r="42" spans="1:12">
      <c r="A42" s="242">
        <v>413002</v>
      </c>
      <c r="B42" s="242" t="s">
        <v>170</v>
      </c>
      <c r="C42" s="241">
        <v>403152</v>
      </c>
      <c r="D42" s="242">
        <v>0</v>
      </c>
      <c r="E42" s="239">
        <f t="shared" si="6"/>
        <v>403152</v>
      </c>
      <c r="F42" s="239">
        <f t="shared" si="7"/>
        <v>0</v>
      </c>
      <c r="G42" s="239"/>
      <c r="H42" s="239"/>
      <c r="I42" s="239">
        <f t="shared" si="8"/>
        <v>403152</v>
      </c>
      <c r="J42" s="239">
        <f t="shared" si="9"/>
        <v>0</v>
      </c>
    </row>
    <row r="43" spans="1:12">
      <c r="A43" s="242">
        <v>414001</v>
      </c>
      <c r="B43" s="242" t="s">
        <v>171</v>
      </c>
      <c r="C43" s="241">
        <v>2368975</v>
      </c>
      <c r="D43" s="242">
        <v>0</v>
      </c>
      <c r="E43" s="239">
        <f t="shared" si="6"/>
        <v>2368975</v>
      </c>
      <c r="F43" s="239">
        <f t="shared" si="7"/>
        <v>0</v>
      </c>
      <c r="G43" s="239"/>
      <c r="H43" s="239"/>
      <c r="I43" s="239">
        <f t="shared" si="8"/>
        <v>2368975</v>
      </c>
      <c r="J43" s="239">
        <f t="shared" si="9"/>
        <v>0</v>
      </c>
    </row>
    <row r="44" spans="1:12">
      <c r="A44" s="242">
        <v>414002</v>
      </c>
      <c r="B44" s="242" t="s">
        <v>172</v>
      </c>
      <c r="C44" s="241">
        <v>316465</v>
      </c>
      <c r="D44" s="242">
        <v>0</v>
      </c>
      <c r="E44" s="239">
        <f t="shared" si="6"/>
        <v>316465</v>
      </c>
      <c r="F44" s="239">
        <f t="shared" si="7"/>
        <v>0</v>
      </c>
      <c r="G44" s="239"/>
      <c r="H44" s="239"/>
      <c r="I44" s="239">
        <f t="shared" si="8"/>
        <v>316465</v>
      </c>
      <c r="J44" s="239">
        <f t="shared" si="9"/>
        <v>0</v>
      </c>
    </row>
    <row r="45" spans="1:12">
      <c r="A45" s="242">
        <v>414007</v>
      </c>
      <c r="B45" s="242" t="s">
        <v>173</v>
      </c>
      <c r="C45" s="241">
        <v>323223</v>
      </c>
      <c r="D45" s="242">
        <v>0</v>
      </c>
      <c r="E45" s="239">
        <f t="shared" si="6"/>
        <v>323223</v>
      </c>
      <c r="F45" s="239">
        <f t="shared" si="7"/>
        <v>0</v>
      </c>
      <c r="G45" s="239"/>
      <c r="H45" s="239"/>
      <c r="I45" s="239">
        <f t="shared" si="8"/>
        <v>323223</v>
      </c>
      <c r="J45" s="239">
        <f t="shared" si="9"/>
        <v>0</v>
      </c>
    </row>
    <row r="46" spans="1:12">
      <c r="A46" s="242">
        <v>415001</v>
      </c>
      <c r="B46" s="242" t="s">
        <v>175</v>
      </c>
      <c r="C46" s="241">
        <v>11730278</v>
      </c>
      <c r="D46" s="241">
        <v>459286</v>
      </c>
      <c r="E46" s="239">
        <f t="shared" si="6"/>
        <v>11270992</v>
      </c>
      <c r="F46" s="239">
        <f t="shared" si="7"/>
        <v>0</v>
      </c>
      <c r="G46" s="239"/>
      <c r="H46" s="239"/>
      <c r="I46" s="239">
        <f t="shared" si="8"/>
        <v>11270992</v>
      </c>
      <c r="J46" s="239">
        <f t="shared" si="9"/>
        <v>0</v>
      </c>
    </row>
    <row r="47" spans="1:12">
      <c r="A47" s="242">
        <v>415005</v>
      </c>
      <c r="B47" s="242" t="s">
        <v>176</v>
      </c>
      <c r="C47" s="241">
        <v>6099366</v>
      </c>
      <c r="D47" s="241">
        <v>534456</v>
      </c>
      <c r="E47" s="239">
        <f t="shared" si="6"/>
        <v>5564910</v>
      </c>
      <c r="F47" s="239">
        <f t="shared" si="7"/>
        <v>0</v>
      </c>
      <c r="G47" s="239"/>
      <c r="H47" s="239"/>
      <c r="I47" s="239">
        <f t="shared" si="8"/>
        <v>5564910</v>
      </c>
      <c r="J47" s="239">
        <f t="shared" si="9"/>
        <v>0</v>
      </c>
    </row>
    <row r="48" spans="1:12">
      <c r="A48" s="242">
        <v>418001</v>
      </c>
      <c r="B48" s="242" t="s">
        <v>193</v>
      </c>
      <c r="C48" s="241">
        <v>266129</v>
      </c>
      <c r="D48" s="242">
        <v>0</v>
      </c>
      <c r="E48" s="239">
        <f t="shared" si="6"/>
        <v>266129</v>
      </c>
      <c r="F48" s="239">
        <f t="shared" si="7"/>
        <v>0</v>
      </c>
      <c r="G48" s="239"/>
      <c r="H48" s="239"/>
      <c r="I48" s="239">
        <f t="shared" si="8"/>
        <v>266129</v>
      </c>
      <c r="J48" s="239">
        <f t="shared" si="9"/>
        <v>0</v>
      </c>
    </row>
    <row r="49" spans="1:13">
      <c r="A49" s="242">
        <v>418005</v>
      </c>
      <c r="B49" s="242" t="s">
        <v>178</v>
      </c>
      <c r="C49" s="241">
        <v>12754221</v>
      </c>
      <c r="D49" s="242">
        <v>0</v>
      </c>
      <c r="E49" s="239">
        <f t="shared" si="6"/>
        <v>12754221</v>
      </c>
      <c r="F49" s="239">
        <f t="shared" si="7"/>
        <v>0</v>
      </c>
      <c r="G49" s="239"/>
      <c r="H49" s="239"/>
      <c r="I49" s="239">
        <f t="shared" si="8"/>
        <v>12754221</v>
      </c>
      <c r="J49" s="239">
        <f t="shared" si="9"/>
        <v>0</v>
      </c>
    </row>
    <row r="50" spans="1:13">
      <c r="A50" s="242">
        <v>419001</v>
      </c>
      <c r="B50" s="242" t="s">
        <v>179</v>
      </c>
      <c r="C50" s="241">
        <v>15814136</v>
      </c>
      <c r="D50" s="241">
        <v>6920252</v>
      </c>
      <c r="E50" s="239">
        <f t="shared" si="6"/>
        <v>8893884</v>
      </c>
      <c r="F50" s="239">
        <f t="shared" si="7"/>
        <v>0</v>
      </c>
      <c r="G50" s="239"/>
      <c r="H50" s="239"/>
      <c r="I50" s="239">
        <f t="shared" si="8"/>
        <v>8893884</v>
      </c>
      <c r="J50" s="239">
        <f t="shared" si="9"/>
        <v>0</v>
      </c>
    </row>
    <row r="51" spans="1:13">
      <c r="A51" s="242">
        <v>419002</v>
      </c>
      <c r="B51" s="242" t="s">
        <v>180</v>
      </c>
      <c r="C51" s="241">
        <v>21465368</v>
      </c>
      <c r="D51" s="241">
        <v>1533343</v>
      </c>
      <c r="E51" s="239">
        <f t="shared" si="6"/>
        <v>19932025</v>
      </c>
      <c r="F51" s="239">
        <f t="shared" si="7"/>
        <v>0</v>
      </c>
      <c r="G51" s="239"/>
      <c r="H51" s="239"/>
      <c r="I51" s="239">
        <f t="shared" si="8"/>
        <v>19932025</v>
      </c>
      <c r="J51" s="239">
        <f t="shared" si="9"/>
        <v>0</v>
      </c>
    </row>
    <row r="52" spans="1:13">
      <c r="A52" s="242">
        <v>419003</v>
      </c>
      <c r="B52" s="242" t="s">
        <v>181</v>
      </c>
      <c r="C52" s="241">
        <v>1334712</v>
      </c>
      <c r="D52" s="242">
        <v>0</v>
      </c>
      <c r="E52" s="239">
        <f t="shared" si="6"/>
        <v>1334712</v>
      </c>
      <c r="F52" s="239">
        <f t="shared" si="7"/>
        <v>0</v>
      </c>
      <c r="G52" s="239"/>
      <c r="H52" s="239"/>
      <c r="I52" s="239">
        <f t="shared" si="8"/>
        <v>1334712</v>
      </c>
      <c r="J52" s="239">
        <f t="shared" si="9"/>
        <v>0</v>
      </c>
    </row>
    <row r="53" spans="1:13">
      <c r="A53" s="242">
        <v>419006</v>
      </c>
      <c r="B53" s="242" t="s">
        <v>182</v>
      </c>
      <c r="C53" s="241">
        <v>121950</v>
      </c>
      <c r="D53" s="242">
        <v>0</v>
      </c>
      <c r="E53" s="239">
        <f t="shared" si="6"/>
        <v>121950</v>
      </c>
      <c r="F53" s="239">
        <f t="shared" si="7"/>
        <v>0</v>
      </c>
      <c r="G53" s="239"/>
      <c r="H53" s="239"/>
      <c r="I53" s="239">
        <f t="shared" si="8"/>
        <v>121950</v>
      </c>
      <c r="J53" s="239">
        <f t="shared" si="9"/>
        <v>0</v>
      </c>
    </row>
    <row r="54" spans="1:13">
      <c r="A54" s="242">
        <v>419008</v>
      </c>
      <c r="B54" s="242" t="s">
        <v>194</v>
      </c>
      <c r="C54" s="241">
        <v>104558</v>
      </c>
      <c r="D54" s="242">
        <v>0</v>
      </c>
      <c r="E54" s="239">
        <f t="shared" si="6"/>
        <v>104558</v>
      </c>
      <c r="F54" s="239">
        <f t="shared" si="7"/>
        <v>0</v>
      </c>
      <c r="G54" s="239"/>
      <c r="H54" s="239"/>
      <c r="I54" s="239">
        <f t="shared" si="8"/>
        <v>104558</v>
      </c>
      <c r="J54" s="239">
        <f t="shared" si="9"/>
        <v>0</v>
      </c>
    </row>
    <row r="55" spans="1:13">
      <c r="A55" s="247">
        <v>421003</v>
      </c>
      <c r="B55" s="247" t="s">
        <v>195</v>
      </c>
      <c r="C55" s="248">
        <v>6156</v>
      </c>
      <c r="D55" s="247">
        <v>0</v>
      </c>
      <c r="E55" s="249">
        <f t="shared" si="6"/>
        <v>6156</v>
      </c>
      <c r="F55" s="249">
        <f t="shared" si="7"/>
        <v>0</v>
      </c>
      <c r="G55" s="249"/>
      <c r="H55" s="249"/>
      <c r="I55" s="249">
        <f t="shared" si="8"/>
        <v>6156</v>
      </c>
      <c r="J55" s="249">
        <f t="shared" si="9"/>
        <v>0</v>
      </c>
    </row>
    <row r="56" spans="1:13">
      <c r="A56" s="247">
        <v>421004</v>
      </c>
      <c r="B56" s="247" t="s">
        <v>196</v>
      </c>
      <c r="C56" s="248">
        <v>28490</v>
      </c>
      <c r="D56" s="247">
        <v>0</v>
      </c>
      <c r="E56" s="249">
        <f t="shared" si="6"/>
        <v>28490</v>
      </c>
      <c r="F56" s="249">
        <f t="shared" si="7"/>
        <v>0</v>
      </c>
      <c r="G56" s="249"/>
      <c r="H56" s="249"/>
      <c r="I56" s="249">
        <f t="shared" si="8"/>
        <v>28490</v>
      </c>
      <c r="J56" s="249">
        <f t="shared" si="9"/>
        <v>0</v>
      </c>
    </row>
    <row r="57" spans="1:13">
      <c r="A57" s="242">
        <v>422001</v>
      </c>
      <c r="B57" s="242" t="s">
        <v>197</v>
      </c>
      <c r="C57" s="241">
        <v>30000</v>
      </c>
      <c r="D57" s="242">
        <v>0</v>
      </c>
      <c r="E57" s="239">
        <f t="shared" si="6"/>
        <v>30000</v>
      </c>
      <c r="F57" s="239">
        <f t="shared" si="7"/>
        <v>0</v>
      </c>
      <c r="G57" s="239"/>
      <c r="H57" s="239"/>
      <c r="I57" s="239">
        <f t="shared" si="8"/>
        <v>30000</v>
      </c>
      <c r="J57" s="239">
        <f t="shared" si="9"/>
        <v>0</v>
      </c>
    </row>
    <row r="58" spans="1:13">
      <c r="A58" s="247">
        <v>422003</v>
      </c>
      <c r="B58" s="247" t="s">
        <v>143</v>
      </c>
      <c r="C58" s="248">
        <f>30716795-664542</f>
        <v>30052253</v>
      </c>
      <c r="D58" s="248">
        <v>243031</v>
      </c>
      <c r="E58" s="249">
        <f t="shared" si="6"/>
        <v>29809222</v>
      </c>
      <c r="F58" s="249">
        <f t="shared" si="7"/>
        <v>0</v>
      </c>
      <c r="G58" s="249"/>
      <c r="H58" s="249"/>
      <c r="I58" s="249">
        <f t="shared" si="8"/>
        <v>29809222</v>
      </c>
      <c r="J58" s="249">
        <f t="shared" si="9"/>
        <v>0</v>
      </c>
    </row>
    <row r="59" spans="1:13">
      <c r="A59" s="242">
        <v>424002</v>
      </c>
      <c r="B59" s="242" t="s">
        <v>184</v>
      </c>
      <c r="C59" s="241">
        <v>93206</v>
      </c>
      <c r="D59" s="242">
        <v>0</v>
      </c>
      <c r="E59" s="239">
        <f t="shared" si="6"/>
        <v>93206</v>
      </c>
      <c r="F59" s="239">
        <f t="shared" si="7"/>
        <v>0</v>
      </c>
      <c r="G59" s="239"/>
      <c r="H59" s="239"/>
      <c r="I59" s="239">
        <f t="shared" si="8"/>
        <v>93206</v>
      </c>
      <c r="J59" s="239">
        <f t="shared" si="9"/>
        <v>0</v>
      </c>
    </row>
    <row r="60" spans="1:13">
      <c r="A60" s="247">
        <v>424003</v>
      </c>
      <c r="B60" s="247" t="s">
        <v>209</v>
      </c>
      <c r="C60" s="248">
        <v>664542</v>
      </c>
      <c r="D60" s="247">
        <v>0</v>
      </c>
      <c r="E60" s="249">
        <f t="shared" si="6"/>
        <v>664542</v>
      </c>
      <c r="F60" s="249">
        <f t="shared" si="7"/>
        <v>0</v>
      </c>
      <c r="G60" s="249"/>
      <c r="H60" s="249"/>
      <c r="I60" s="249">
        <f t="shared" si="8"/>
        <v>664542</v>
      </c>
      <c r="J60" s="249">
        <f t="shared" si="9"/>
        <v>0</v>
      </c>
      <c r="L60" s="1">
        <f>+C60+C20</f>
        <v>7298268</v>
      </c>
      <c r="M60" t="s">
        <v>263</v>
      </c>
    </row>
    <row r="61" spans="1:13">
      <c r="A61" s="247">
        <v>425001</v>
      </c>
      <c r="B61" s="247" t="s">
        <v>144</v>
      </c>
      <c r="C61" s="248">
        <v>5036235</v>
      </c>
      <c r="D61" s="247">
        <v>0</v>
      </c>
      <c r="E61" s="249">
        <f t="shared" si="6"/>
        <v>5036235</v>
      </c>
      <c r="F61" s="249">
        <f t="shared" si="7"/>
        <v>0</v>
      </c>
      <c r="G61" s="249"/>
      <c r="H61" s="249"/>
      <c r="I61" s="249">
        <f t="shared" si="8"/>
        <v>5036235</v>
      </c>
      <c r="J61" s="249">
        <f t="shared" si="9"/>
        <v>0</v>
      </c>
    </row>
    <row r="62" spans="1:13">
      <c r="A62" s="247">
        <v>425002</v>
      </c>
      <c r="B62" s="247" t="s">
        <v>198</v>
      </c>
      <c r="C62" s="248">
        <v>2557695</v>
      </c>
      <c r="D62" s="247">
        <v>0</v>
      </c>
      <c r="E62" s="249">
        <f t="shared" si="6"/>
        <v>2557695</v>
      </c>
      <c r="F62" s="249">
        <f t="shared" si="7"/>
        <v>0</v>
      </c>
      <c r="G62" s="249"/>
      <c r="H62" s="249"/>
      <c r="I62" s="249">
        <f t="shared" si="8"/>
        <v>2557695</v>
      </c>
      <c r="J62" s="249">
        <f t="shared" si="9"/>
        <v>0</v>
      </c>
    </row>
    <row r="63" spans="1:13">
      <c r="A63" s="242">
        <v>428004</v>
      </c>
      <c r="B63" s="242" t="s">
        <v>185</v>
      </c>
      <c r="C63" s="241">
        <v>1710277</v>
      </c>
      <c r="D63" s="242">
        <v>0</v>
      </c>
      <c r="E63" s="239">
        <f t="shared" si="6"/>
        <v>1710277</v>
      </c>
      <c r="F63" s="239">
        <f t="shared" si="7"/>
        <v>0</v>
      </c>
      <c r="G63" s="239"/>
      <c r="H63" s="239"/>
      <c r="I63" s="239">
        <f t="shared" si="8"/>
        <v>1710277</v>
      </c>
      <c r="J63" s="239">
        <f t="shared" si="9"/>
        <v>0</v>
      </c>
    </row>
    <row r="64" spans="1:13">
      <c r="A64" s="242"/>
      <c r="B64" s="242" t="s">
        <v>119</v>
      </c>
      <c r="C64" s="241">
        <f>SUM(C5:C63)</f>
        <v>872456434</v>
      </c>
      <c r="D64" s="241">
        <f t="shared" ref="D64:J64" si="10">SUM(D5:D63)</f>
        <v>872456433.60900295</v>
      </c>
      <c r="E64" s="241">
        <f t="shared" si="10"/>
        <v>224600715</v>
      </c>
      <c r="F64" s="241">
        <f t="shared" si="10"/>
        <v>224600714.60900298</v>
      </c>
      <c r="G64" s="241">
        <f t="shared" si="10"/>
        <v>82453065</v>
      </c>
      <c r="H64" s="241">
        <f t="shared" si="10"/>
        <v>69528515.609002978</v>
      </c>
      <c r="I64" s="241">
        <f t="shared" si="10"/>
        <v>142147650</v>
      </c>
      <c r="J64" s="241">
        <f t="shared" si="10"/>
        <v>155072199</v>
      </c>
    </row>
    <row r="65" spans="1:10">
      <c r="A65" s="242"/>
      <c r="B65" s="242" t="s">
        <v>199</v>
      </c>
      <c r="C65" s="242"/>
      <c r="D65" s="242"/>
      <c r="E65" s="242"/>
      <c r="F65" s="242"/>
      <c r="G65" s="242">
        <v>0</v>
      </c>
      <c r="H65" s="241">
        <f>+G64-H64</f>
        <v>12924549.390997022</v>
      </c>
      <c r="I65" s="241">
        <f>+H65</f>
        <v>12924549.390997022</v>
      </c>
      <c r="J65" s="242">
        <v>0</v>
      </c>
    </row>
    <row r="66" spans="1:10">
      <c r="A66" s="242"/>
      <c r="B66" s="242" t="s">
        <v>120</v>
      </c>
      <c r="C66" s="241">
        <f>+C64+C65</f>
        <v>872456434</v>
      </c>
      <c r="D66" s="241">
        <f t="shared" ref="D66:J66" si="11">+D64+D65</f>
        <v>872456433.60900295</v>
      </c>
      <c r="E66" s="241">
        <f t="shared" si="11"/>
        <v>224600715</v>
      </c>
      <c r="F66" s="241">
        <f t="shared" si="11"/>
        <v>224600714.60900298</v>
      </c>
      <c r="G66" s="241">
        <f t="shared" si="11"/>
        <v>82453065</v>
      </c>
      <c r="H66" s="241">
        <f t="shared" si="11"/>
        <v>82453065</v>
      </c>
      <c r="I66" s="241">
        <f>+J66</f>
        <v>155072199</v>
      </c>
      <c r="J66" s="241">
        <f t="shared" si="11"/>
        <v>155072199</v>
      </c>
    </row>
    <row r="70" spans="1:10">
      <c r="H70" s="1"/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GridLines="0" topLeftCell="A23" zoomScale="96" zoomScaleNormal="96" workbookViewId="0">
      <selection activeCell="B58" sqref="B58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7.140625" style="152" bestFit="1" customWidth="1"/>
    <col min="5" max="5" width="17.140625" style="87" customWidth="1"/>
    <col min="6" max="6" width="17.140625" style="87" bestFit="1" customWidth="1"/>
    <col min="7" max="7" width="17.85546875" style="87" customWidth="1"/>
    <col min="8" max="8" width="11.42578125" style="3" hidden="1" customWidth="1"/>
    <col min="9" max="9" width="12.140625" style="3" bestFit="1" customWidth="1"/>
    <col min="10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9" ht="15.75" thickBot="1">
      <c r="A1" s="4"/>
    </row>
    <row r="2" spans="1:9" ht="22.5" customHeight="1">
      <c r="A2" s="6"/>
      <c r="B2" s="74" t="s">
        <v>121</v>
      </c>
      <c r="C2" s="75"/>
      <c r="D2" s="76" t="s">
        <v>54</v>
      </c>
      <c r="E2" s="76" t="s">
        <v>54</v>
      </c>
      <c r="F2" s="76" t="s">
        <v>54</v>
      </c>
      <c r="G2" s="173" t="s">
        <v>54</v>
      </c>
    </row>
    <row r="3" spans="1:9" ht="22.5" customHeight="1">
      <c r="A3" s="6"/>
      <c r="B3" s="78"/>
      <c r="C3" s="43"/>
      <c r="D3" s="44" t="s">
        <v>83</v>
      </c>
      <c r="E3" s="44" t="s">
        <v>91</v>
      </c>
      <c r="F3" s="44" t="s">
        <v>93</v>
      </c>
      <c r="G3" s="174" t="s">
        <v>55</v>
      </c>
    </row>
    <row r="4" spans="1:9" ht="22.5" customHeight="1" thickBot="1">
      <c r="A4" s="6"/>
      <c r="B4" s="78"/>
      <c r="C4" s="43"/>
      <c r="D4" s="44" t="s">
        <v>84</v>
      </c>
      <c r="E4" s="44" t="s">
        <v>90</v>
      </c>
      <c r="F4" s="44" t="s">
        <v>92</v>
      </c>
      <c r="G4" s="174"/>
    </row>
    <row r="5" spans="1:9">
      <c r="A5" s="6"/>
      <c r="B5" s="49" t="s">
        <v>56</v>
      </c>
      <c r="C5" s="117" t="s">
        <v>1</v>
      </c>
      <c r="D5" s="117">
        <f>SUM(D6:D8)</f>
        <v>124038400</v>
      </c>
      <c r="E5" s="117">
        <f>SUM(E6:E8)</f>
        <v>0</v>
      </c>
      <c r="F5" s="24">
        <f>SUM(F6:F8)</f>
        <v>0</v>
      </c>
      <c r="G5" s="125">
        <f>SUM(G6:G8)</f>
        <v>124038400</v>
      </c>
    </row>
    <row r="6" spans="1:9">
      <c r="A6" s="6"/>
      <c r="B6" s="50" t="s">
        <v>122</v>
      </c>
      <c r="C6" s="9" t="s">
        <v>0</v>
      </c>
      <c r="D6" s="153">
        <f>+'ANTECEDENTES  '!E18</f>
        <v>124038400</v>
      </c>
      <c r="E6" s="29"/>
      <c r="F6" s="119"/>
      <c r="G6" s="175">
        <f>+D6+E6+F6</f>
        <v>124038400</v>
      </c>
      <c r="I6"/>
    </row>
    <row r="7" spans="1:9">
      <c r="A7" s="6"/>
      <c r="B7" s="50" t="s">
        <v>123</v>
      </c>
      <c r="C7" s="9" t="s">
        <v>0</v>
      </c>
      <c r="D7" s="153"/>
      <c r="E7" s="29"/>
      <c r="F7" s="119"/>
      <c r="G7" s="126">
        <f>+F7</f>
        <v>0</v>
      </c>
    </row>
    <row r="8" spans="1:9" ht="15.75" thickBot="1">
      <c r="A8" s="6"/>
      <c r="B8" s="51" t="s">
        <v>124</v>
      </c>
      <c r="C8" s="12" t="s">
        <v>0</v>
      </c>
      <c r="D8" s="154"/>
      <c r="E8" s="105"/>
      <c r="F8" s="124"/>
      <c r="G8" s="128"/>
    </row>
    <row r="9" spans="1:9">
      <c r="A9" s="6"/>
      <c r="B9" s="80" t="s">
        <v>17</v>
      </c>
      <c r="C9" s="14" t="s">
        <v>0</v>
      </c>
      <c r="D9" s="14"/>
      <c r="E9" s="106"/>
      <c r="F9" s="121"/>
      <c r="G9" s="176">
        <f>+F9</f>
        <v>0</v>
      </c>
    </row>
    <row r="10" spans="1:9">
      <c r="A10" s="6"/>
      <c r="B10" s="59" t="s">
        <v>18</v>
      </c>
      <c r="C10" s="9" t="s">
        <v>0</v>
      </c>
      <c r="D10" s="153"/>
      <c r="E10" s="107"/>
      <c r="F10" s="122">
        <f>+D10</f>
        <v>0</v>
      </c>
      <c r="G10" s="176">
        <f>+F10</f>
        <v>0</v>
      </c>
    </row>
    <row r="11" spans="1:9" ht="15" customHeight="1" thickBot="1">
      <c r="A11" s="6"/>
      <c r="B11" s="60" t="s">
        <v>19</v>
      </c>
      <c r="C11" s="13" t="s">
        <v>0</v>
      </c>
      <c r="D11" s="13"/>
      <c r="E11" s="108"/>
      <c r="F11" s="119"/>
      <c r="G11" s="177">
        <f>+F11</f>
        <v>0</v>
      </c>
    </row>
    <row r="12" spans="1:9" ht="15" customHeight="1">
      <c r="A12" s="6"/>
      <c r="B12" s="52" t="s">
        <v>20</v>
      </c>
      <c r="C12" s="117" t="s">
        <v>1</v>
      </c>
      <c r="D12" s="117">
        <f>SUM(D13:D14)</f>
        <v>31009600</v>
      </c>
      <c r="E12" s="117">
        <f t="shared" ref="E12:G12" si="0">SUM(E13:E14)</f>
        <v>0</v>
      </c>
      <c r="F12" s="24">
        <f t="shared" si="0"/>
        <v>0</v>
      </c>
      <c r="G12" s="125">
        <f t="shared" si="0"/>
        <v>31009600</v>
      </c>
    </row>
    <row r="13" spans="1:9" ht="15" customHeight="1">
      <c r="A13" s="6"/>
      <c r="B13" s="50" t="s">
        <v>125</v>
      </c>
      <c r="C13" s="9" t="s">
        <v>0</v>
      </c>
      <c r="D13" s="153">
        <f>+'ANTECEDENTES  '!E19</f>
        <v>31009600</v>
      </c>
      <c r="E13" s="29"/>
      <c r="F13" s="119"/>
      <c r="G13" s="176">
        <f>+D13</f>
        <v>31009600</v>
      </c>
    </row>
    <row r="14" spans="1:9" ht="15" customHeight="1" thickBot="1">
      <c r="A14" s="6"/>
      <c r="B14" s="51" t="s">
        <v>126</v>
      </c>
      <c r="C14" s="12" t="s">
        <v>0</v>
      </c>
      <c r="D14" s="154"/>
      <c r="E14" s="105"/>
      <c r="F14" s="120"/>
      <c r="G14" s="128"/>
    </row>
    <row r="15" spans="1:9">
      <c r="A15" s="6"/>
      <c r="B15" s="49" t="s">
        <v>2</v>
      </c>
      <c r="C15" s="53" t="s">
        <v>1</v>
      </c>
      <c r="D15" s="117">
        <f>SUM(D16:D26)</f>
        <v>24199</v>
      </c>
      <c r="E15" s="117">
        <f t="shared" ref="E15:F15" si="1">SUM(E16:E26)</f>
        <v>0</v>
      </c>
      <c r="F15" s="24">
        <f t="shared" si="1"/>
        <v>0</v>
      </c>
      <c r="G15" s="125">
        <f>SUM(G16:G26)</f>
        <v>24199</v>
      </c>
    </row>
    <row r="16" spans="1:9">
      <c r="A16" s="6"/>
      <c r="B16" s="81" t="s">
        <v>57</v>
      </c>
      <c r="C16" s="9" t="s">
        <v>0</v>
      </c>
      <c r="D16" s="27"/>
      <c r="E16" s="14"/>
      <c r="F16" s="118"/>
      <c r="G16" s="178"/>
    </row>
    <row r="17" spans="1:8">
      <c r="A17" s="6"/>
      <c r="B17" s="81" t="s">
        <v>127</v>
      </c>
      <c r="C17" s="9" t="s">
        <v>0</v>
      </c>
      <c r="D17" s="27">
        <f>+'BALANCE AÑO 2020'!J36</f>
        <v>3296</v>
      </c>
      <c r="E17" s="14"/>
      <c r="F17" s="118"/>
      <c r="G17" s="178">
        <f>+D17+E17+F17</f>
        <v>3296</v>
      </c>
    </row>
    <row r="18" spans="1:8">
      <c r="A18" s="6"/>
      <c r="B18" s="54" t="s">
        <v>85</v>
      </c>
      <c r="C18" s="9" t="s">
        <v>0</v>
      </c>
      <c r="D18" s="27"/>
      <c r="E18" s="27"/>
      <c r="F18" s="179"/>
      <c r="G18" s="178">
        <f t="shared" ref="G18:G26" si="2">+D18+E18+F18</f>
        <v>0</v>
      </c>
    </row>
    <row r="19" spans="1:8">
      <c r="A19" s="6"/>
      <c r="B19" s="67" t="s">
        <v>58</v>
      </c>
      <c r="C19" s="9" t="s">
        <v>0</v>
      </c>
      <c r="D19" s="27">
        <f>+'BALANCE AÑO 2020'!J35</f>
        <v>20903</v>
      </c>
      <c r="E19" s="27"/>
      <c r="F19" s="179"/>
      <c r="G19" s="178">
        <f t="shared" si="2"/>
        <v>20903</v>
      </c>
    </row>
    <row r="20" spans="1:8" ht="15" customHeight="1">
      <c r="A20" s="6"/>
      <c r="B20" s="54" t="s">
        <v>72</v>
      </c>
      <c r="C20" s="9" t="s">
        <v>0</v>
      </c>
      <c r="D20" s="27"/>
      <c r="E20" s="27"/>
      <c r="F20" s="179"/>
      <c r="G20" s="178">
        <f t="shared" si="2"/>
        <v>0</v>
      </c>
    </row>
    <row r="21" spans="1:8" ht="15" customHeight="1">
      <c r="A21" s="6"/>
      <c r="B21" s="54" t="s">
        <v>73</v>
      </c>
      <c r="C21" s="9" t="s">
        <v>0</v>
      </c>
      <c r="D21" s="27"/>
      <c r="E21" s="27"/>
      <c r="F21" s="179"/>
      <c r="G21" s="178">
        <f t="shared" si="2"/>
        <v>0</v>
      </c>
    </row>
    <row r="22" spans="1:8" ht="15" customHeight="1">
      <c r="A22" s="6"/>
      <c r="B22" s="54" t="s">
        <v>74</v>
      </c>
      <c r="C22" s="9" t="s">
        <v>0</v>
      </c>
      <c r="D22" s="27"/>
      <c r="E22" s="27"/>
      <c r="F22" s="179"/>
      <c r="G22" s="178">
        <f t="shared" si="2"/>
        <v>0</v>
      </c>
    </row>
    <row r="23" spans="1:8" ht="15" customHeight="1">
      <c r="A23" s="6"/>
      <c r="B23" s="54" t="s">
        <v>59</v>
      </c>
      <c r="C23" s="9" t="s">
        <v>0</v>
      </c>
      <c r="D23" s="58"/>
      <c r="E23" s="58"/>
      <c r="F23" s="179"/>
      <c r="G23" s="178">
        <f t="shared" si="2"/>
        <v>0</v>
      </c>
    </row>
    <row r="24" spans="1:8" ht="15" customHeight="1">
      <c r="A24" s="6"/>
      <c r="B24" s="54" t="s">
        <v>76</v>
      </c>
      <c r="C24" s="9" t="s">
        <v>0</v>
      </c>
      <c r="D24" s="28"/>
      <c r="E24" s="28"/>
      <c r="F24" s="179"/>
      <c r="G24" s="178">
        <f t="shared" si="2"/>
        <v>0</v>
      </c>
    </row>
    <row r="25" spans="1:8" ht="15" customHeight="1">
      <c r="A25" s="6"/>
      <c r="B25" s="54" t="s">
        <v>77</v>
      </c>
      <c r="C25" s="9" t="s">
        <v>0</v>
      </c>
      <c r="D25" s="28"/>
      <c r="E25" s="28"/>
      <c r="F25" s="179"/>
      <c r="G25" s="178">
        <f t="shared" si="2"/>
        <v>0</v>
      </c>
    </row>
    <row r="26" spans="1:8" ht="15" customHeight="1" thickBot="1">
      <c r="A26" s="6"/>
      <c r="B26" s="67" t="s">
        <v>78</v>
      </c>
      <c r="C26" s="13" t="s">
        <v>0</v>
      </c>
      <c r="D26" s="180"/>
      <c r="E26" s="181"/>
      <c r="F26" s="182"/>
      <c r="G26" s="183">
        <f t="shared" si="2"/>
        <v>0</v>
      </c>
    </row>
    <row r="27" spans="1:8" ht="15" customHeight="1">
      <c r="A27" s="6"/>
      <c r="B27" s="52" t="s">
        <v>21</v>
      </c>
      <c r="C27" s="117" t="s">
        <v>0</v>
      </c>
      <c r="D27" s="117"/>
      <c r="E27" s="184"/>
      <c r="F27" s="185"/>
      <c r="G27" s="186"/>
    </row>
    <row r="28" spans="1:8" ht="15.75" customHeight="1" thickBot="1">
      <c r="A28" s="6"/>
      <c r="B28" s="62" t="s">
        <v>22</v>
      </c>
      <c r="C28" s="12" t="s">
        <v>0</v>
      </c>
      <c r="D28" s="12"/>
      <c r="E28" s="105"/>
      <c r="F28" s="120">
        <f>+D94</f>
        <v>2785426.4037599997</v>
      </c>
      <c r="G28" s="339">
        <f>+F28</f>
        <v>2785426.4037599997</v>
      </c>
    </row>
    <row r="29" spans="1:8" ht="15.75" thickBot="1">
      <c r="A29" s="6"/>
      <c r="B29" s="57" t="s">
        <v>23</v>
      </c>
      <c r="C29" s="18" t="s">
        <v>1</v>
      </c>
      <c r="D29" s="18">
        <f>+D5+D9+D10+D11+D12+D15+D27+D28</f>
        <v>155072199</v>
      </c>
      <c r="E29" s="98"/>
      <c r="F29" s="98"/>
      <c r="G29" s="187">
        <f>+G5+G9+G10+G11+G12+G15+G27+G28</f>
        <v>157857625.40375999</v>
      </c>
    </row>
    <row r="30" spans="1:8" ht="15" customHeight="1">
      <c r="A30" s="6"/>
      <c r="B30" s="52" t="s">
        <v>60</v>
      </c>
      <c r="C30" s="64" t="s">
        <v>13</v>
      </c>
      <c r="D30" s="27"/>
      <c r="E30" s="27"/>
      <c r="F30" s="179"/>
      <c r="G30" s="188">
        <f>+D30+E30+F30</f>
        <v>0</v>
      </c>
      <c r="H30" t="s">
        <v>128</v>
      </c>
    </row>
    <row r="31" spans="1:8" ht="15" customHeight="1">
      <c r="A31" s="6"/>
      <c r="B31" s="65" t="s">
        <v>62</v>
      </c>
      <c r="C31" s="48" t="s">
        <v>13</v>
      </c>
      <c r="D31" s="27"/>
      <c r="E31" s="27"/>
      <c r="F31" s="179">
        <f>+'ANTECEDENTES  '!E12-'ANTECEDENTES  '!E13</f>
        <v>6478365.533854166</v>
      </c>
      <c r="G31" s="188">
        <f>+D31-E31+F31</f>
        <v>6478365.533854166</v>
      </c>
      <c r="H31" t="s">
        <v>128</v>
      </c>
    </row>
    <row r="32" spans="1:8" ht="15" customHeight="1">
      <c r="A32" s="6"/>
      <c r="B32" s="65" t="s">
        <v>27</v>
      </c>
      <c r="C32" s="48" t="s">
        <v>13</v>
      </c>
      <c r="D32" s="27"/>
      <c r="E32" s="27"/>
      <c r="F32" s="179">
        <f>+'ANTECEDENTES  '!E10</f>
        <v>3752309</v>
      </c>
      <c r="G32" s="188">
        <f t="shared" ref="G32:G53" si="3">+D32-E32+F32</f>
        <v>3752309</v>
      </c>
    </row>
    <row r="33" spans="1:8" ht="15" customHeight="1">
      <c r="A33" s="6"/>
      <c r="B33" s="65" t="s">
        <v>63</v>
      </c>
      <c r="C33" s="48" t="s">
        <v>13</v>
      </c>
      <c r="D33" s="27"/>
      <c r="E33" s="27"/>
      <c r="F33" s="189">
        <f>+'BALANCE AÑO 2020'!C8</f>
        <v>6364714</v>
      </c>
      <c r="G33" s="188">
        <f t="shared" si="3"/>
        <v>6364714</v>
      </c>
      <c r="H33" t="s">
        <v>128</v>
      </c>
    </row>
    <row r="34" spans="1:8" ht="15" customHeight="1">
      <c r="A34" s="6"/>
      <c r="B34" s="65" t="s">
        <v>64</v>
      </c>
      <c r="C34" s="48" t="s">
        <v>13</v>
      </c>
      <c r="D34" s="27"/>
      <c r="E34" s="27"/>
      <c r="F34" s="179"/>
      <c r="G34" s="188">
        <f t="shared" si="3"/>
        <v>0</v>
      </c>
      <c r="H34" t="s">
        <v>128</v>
      </c>
    </row>
    <row r="35" spans="1:8">
      <c r="A35" s="6"/>
      <c r="B35" s="65" t="s">
        <v>65</v>
      </c>
      <c r="C35" s="48" t="s">
        <v>13</v>
      </c>
      <c r="D35" s="27">
        <f>+'BALANCE AÑO 2020'!I38+'BALANCE AÑO 2020'!I39</f>
        <v>31058794</v>
      </c>
      <c r="E35" s="27">
        <f>+'BALANCE AÑO 2020'!H22+'BALANCE AÑO 2020'!H24</f>
        <v>2145560</v>
      </c>
      <c r="F35" s="179"/>
      <c r="G35" s="188">
        <f t="shared" si="3"/>
        <v>28913234</v>
      </c>
      <c r="H35" t="s">
        <v>128</v>
      </c>
    </row>
    <row r="36" spans="1:8">
      <c r="A36" s="6"/>
      <c r="B36" s="65" t="s">
        <v>61</v>
      </c>
      <c r="C36" s="48" t="s">
        <v>13</v>
      </c>
      <c r="D36" s="27">
        <f>+'BALANCE AÑO 2020'!I41</f>
        <v>1049106</v>
      </c>
      <c r="E36" s="27"/>
      <c r="F36" s="179"/>
      <c r="G36" s="188">
        <f t="shared" si="3"/>
        <v>1049106</v>
      </c>
      <c r="H36" t="s">
        <v>128</v>
      </c>
    </row>
    <row r="37" spans="1:8">
      <c r="A37" s="6"/>
      <c r="B37" s="65" t="s">
        <v>67</v>
      </c>
      <c r="C37" s="48" t="s">
        <v>13</v>
      </c>
      <c r="D37" s="27"/>
      <c r="E37" s="27"/>
      <c r="F37" s="179">
        <f>+'BALANCE AÑO 2020'!C16</f>
        <v>45782814</v>
      </c>
      <c r="G37" s="188">
        <f t="shared" si="3"/>
        <v>45782814</v>
      </c>
      <c r="H37" t="s">
        <v>128</v>
      </c>
    </row>
    <row r="38" spans="1:8">
      <c r="A38" s="6"/>
      <c r="B38" s="65" t="s">
        <v>68</v>
      </c>
      <c r="C38" s="48" t="s">
        <v>13</v>
      </c>
      <c r="D38" s="27"/>
      <c r="E38" s="27"/>
      <c r="F38" s="179"/>
      <c r="G38" s="188">
        <f t="shared" si="3"/>
        <v>0</v>
      </c>
      <c r="H38" t="s">
        <v>128</v>
      </c>
    </row>
    <row r="39" spans="1:8">
      <c r="A39" s="6"/>
      <c r="B39" s="65" t="s">
        <v>69</v>
      </c>
      <c r="C39" s="48" t="s">
        <v>13</v>
      </c>
      <c r="D39" s="28"/>
      <c r="E39" s="27"/>
      <c r="F39" s="179"/>
      <c r="G39" s="188">
        <f t="shared" si="3"/>
        <v>0</v>
      </c>
      <c r="H39" t="s">
        <v>128</v>
      </c>
    </row>
    <row r="40" spans="1:8">
      <c r="A40" s="6"/>
      <c r="B40" s="66" t="s">
        <v>66</v>
      </c>
      <c r="C40" s="48" t="s">
        <v>13</v>
      </c>
      <c r="D40" s="28"/>
      <c r="E40" s="27"/>
      <c r="F40" s="179"/>
      <c r="G40" s="188">
        <f t="shared" si="3"/>
        <v>0</v>
      </c>
      <c r="H40" t="s">
        <v>128</v>
      </c>
    </row>
    <row r="41" spans="1:8" ht="15" customHeight="1">
      <c r="A41" s="6"/>
      <c r="B41" s="66" t="s">
        <v>37</v>
      </c>
      <c r="C41" s="48" t="s">
        <v>13</v>
      </c>
      <c r="D41" s="27"/>
      <c r="E41" s="27"/>
      <c r="F41" s="179"/>
      <c r="G41" s="188">
        <f t="shared" si="3"/>
        <v>0</v>
      </c>
    </row>
    <row r="42" spans="1:8" ht="15" customHeight="1">
      <c r="A42" s="6"/>
      <c r="B42" s="66" t="s">
        <v>38</v>
      </c>
      <c r="C42" s="48" t="s">
        <v>13</v>
      </c>
      <c r="D42" s="27"/>
      <c r="E42" s="27"/>
      <c r="F42" s="179"/>
      <c r="G42" s="188">
        <f t="shared" si="3"/>
        <v>0</v>
      </c>
      <c r="H42" s="3" t="s">
        <v>128</v>
      </c>
    </row>
    <row r="43" spans="1:8" ht="15" customHeight="1">
      <c r="A43" s="6"/>
      <c r="B43" s="66" t="s">
        <v>39</v>
      </c>
      <c r="C43" s="48" t="s">
        <v>13</v>
      </c>
      <c r="D43" s="27"/>
      <c r="E43" s="27"/>
      <c r="F43" s="179"/>
      <c r="G43" s="188">
        <f t="shared" si="3"/>
        <v>0</v>
      </c>
    </row>
    <row r="44" spans="1:8">
      <c r="A44" s="6"/>
      <c r="B44" s="82" t="s">
        <v>70</v>
      </c>
      <c r="C44" s="48" t="s">
        <v>13</v>
      </c>
      <c r="D44" s="27"/>
      <c r="E44" s="27"/>
      <c r="F44" s="179"/>
      <c r="G44" s="188">
        <f t="shared" si="3"/>
        <v>0</v>
      </c>
      <c r="H44" s="3" t="str">
        <f>+H42</f>
        <v>pagados</v>
      </c>
    </row>
    <row r="45" spans="1:8">
      <c r="A45" s="6"/>
      <c r="B45" s="82" t="s">
        <v>71</v>
      </c>
      <c r="C45" s="48" t="s">
        <v>13</v>
      </c>
      <c r="D45" s="27"/>
      <c r="E45" s="27"/>
      <c r="F45" s="179"/>
      <c r="G45" s="188">
        <f t="shared" si="3"/>
        <v>0</v>
      </c>
      <c r="H45" s="3" t="str">
        <f>+H44</f>
        <v>pagados</v>
      </c>
    </row>
    <row r="46" spans="1:8" ht="15" customHeight="1">
      <c r="A46" s="6"/>
      <c r="B46" s="82" t="s">
        <v>79</v>
      </c>
      <c r="C46" s="48" t="s">
        <v>13</v>
      </c>
      <c r="D46" s="27"/>
      <c r="E46" s="27"/>
      <c r="F46" s="179"/>
      <c r="G46" s="188">
        <f t="shared" si="3"/>
        <v>0</v>
      </c>
      <c r="H46" s="3" t="str">
        <f>+H45</f>
        <v>pagados</v>
      </c>
    </row>
    <row r="47" spans="1:8" ht="15" customHeight="1">
      <c r="A47" s="6"/>
      <c r="B47" s="82" t="s">
        <v>80</v>
      </c>
      <c r="C47" s="48" t="s">
        <v>13</v>
      </c>
      <c r="D47" s="27">
        <f>+'BALANCE AÑO 2020'!I55+'BALANCE AÑO 2020'!I56</f>
        <v>34646</v>
      </c>
      <c r="E47" s="27"/>
      <c r="F47" s="179"/>
      <c r="G47" s="188">
        <f t="shared" si="3"/>
        <v>34646</v>
      </c>
    </row>
    <row r="48" spans="1:8" ht="15" customHeight="1">
      <c r="A48" s="6"/>
      <c r="B48" s="66" t="s">
        <v>42</v>
      </c>
      <c r="C48" s="48" t="s">
        <v>13</v>
      </c>
      <c r="D48" s="27"/>
      <c r="E48" s="27"/>
      <c r="F48" s="179"/>
      <c r="G48" s="188">
        <f t="shared" si="3"/>
        <v>0</v>
      </c>
    </row>
    <row r="49" spans="1:9">
      <c r="A49" s="6"/>
      <c r="B49" s="66" t="s">
        <v>86</v>
      </c>
      <c r="C49" s="48" t="s">
        <v>13</v>
      </c>
      <c r="D49" s="27">
        <f>SUM('BALANCE AÑO 2020'!I40,'BALANCE AÑO 2020'!I42:I54,'BALANCE AÑO 2020'!I57:I59,'BALANCE AÑO 2020'!I63)</f>
        <v>95381918</v>
      </c>
      <c r="E49" s="27">
        <f>+'BALANCE AÑO 2020'!H21/1.19</f>
        <v>22259136.974789917</v>
      </c>
      <c r="F49" s="179">
        <f>+'BALANCE AÑO 2020'!C20+'BALANCE AÑO 2020'!C60</f>
        <v>7298268</v>
      </c>
      <c r="G49" s="188">
        <f>+D49-E49+F49</f>
        <v>80421049.025210083</v>
      </c>
      <c r="I49" s="155" t="s">
        <v>186</v>
      </c>
    </row>
    <row r="50" spans="1:9" ht="15" customHeight="1">
      <c r="A50" s="6"/>
      <c r="B50" s="66" t="s">
        <v>44</v>
      </c>
      <c r="C50" s="48" t="s">
        <v>13</v>
      </c>
      <c r="D50" s="27"/>
      <c r="E50" s="27"/>
      <c r="F50" s="179"/>
      <c r="G50" s="188">
        <f t="shared" si="3"/>
        <v>0</v>
      </c>
    </row>
    <row r="51" spans="1:9">
      <c r="A51" s="6"/>
      <c r="B51" s="66" t="s">
        <v>45</v>
      </c>
      <c r="C51" s="48" t="s">
        <v>13</v>
      </c>
      <c r="D51" s="27"/>
      <c r="E51" s="27"/>
      <c r="F51" s="179"/>
      <c r="G51" s="188">
        <f t="shared" si="3"/>
        <v>0</v>
      </c>
    </row>
    <row r="52" spans="1:9" ht="16.5" customHeight="1">
      <c r="A52" s="6"/>
      <c r="B52" s="65" t="s">
        <v>46</v>
      </c>
      <c r="C52" s="48" t="s">
        <v>13</v>
      </c>
      <c r="D52" s="27"/>
      <c r="E52" s="27"/>
      <c r="F52" s="179"/>
      <c r="G52" s="188">
        <f t="shared" si="3"/>
        <v>0</v>
      </c>
    </row>
    <row r="53" spans="1:9">
      <c r="A53" s="6"/>
      <c r="B53" s="65" t="s">
        <v>3</v>
      </c>
      <c r="C53" s="48" t="s">
        <v>13</v>
      </c>
      <c r="D53" s="27"/>
      <c r="E53" s="27"/>
      <c r="F53" s="179"/>
      <c r="G53" s="188">
        <f t="shared" si="3"/>
        <v>0</v>
      </c>
    </row>
    <row r="54" spans="1:9">
      <c r="A54" s="6"/>
      <c r="B54" s="190" t="s">
        <v>87</v>
      </c>
      <c r="C54" s="20"/>
      <c r="D54" s="27"/>
      <c r="E54" s="27"/>
      <c r="F54" s="179"/>
      <c r="G54" s="188"/>
    </row>
    <row r="55" spans="1:9" ht="15" customHeight="1">
      <c r="A55" s="6"/>
      <c r="B55" s="54" t="s">
        <v>88</v>
      </c>
      <c r="C55" s="48" t="s">
        <v>13</v>
      </c>
      <c r="D55" s="27">
        <f>+'BALANCE AÑO 2020'!I61+'BALANCE AÑO 2020'!I62</f>
        <v>7593930</v>
      </c>
      <c r="E55" s="27"/>
      <c r="F55" s="179"/>
      <c r="G55" s="188"/>
    </row>
    <row r="56" spans="1:9" ht="15" customHeight="1">
      <c r="A56" s="6"/>
      <c r="B56" s="54" t="s">
        <v>94</v>
      </c>
      <c r="C56" s="48" t="s">
        <v>13</v>
      </c>
      <c r="D56" s="27">
        <f>+'BALANCE AÑO 2020'!I37</f>
        <v>6364714</v>
      </c>
      <c r="E56" s="27"/>
      <c r="F56" s="179"/>
      <c r="G56" s="188"/>
    </row>
    <row r="57" spans="1:9" ht="15" customHeight="1">
      <c r="A57" s="6"/>
      <c r="B57" s="54" t="s">
        <v>209</v>
      </c>
      <c r="C57" s="48" t="s">
        <v>13</v>
      </c>
      <c r="D57" s="27">
        <f>+'BALANCE AÑO 2020'!I60</f>
        <v>664542</v>
      </c>
      <c r="E57" s="27"/>
      <c r="F57" s="179"/>
      <c r="G57" s="188"/>
    </row>
    <row r="58" spans="1:9" ht="15" customHeight="1">
      <c r="A58" s="6"/>
      <c r="B58" s="54" t="s">
        <v>75</v>
      </c>
      <c r="C58" s="48" t="s">
        <v>13</v>
      </c>
      <c r="D58" s="27"/>
      <c r="E58" s="27"/>
      <c r="F58" s="179"/>
      <c r="G58" s="188"/>
    </row>
    <row r="59" spans="1:9" ht="15" customHeight="1">
      <c r="A59" s="6"/>
      <c r="B59" s="54" t="s">
        <v>75</v>
      </c>
      <c r="C59" s="48" t="s">
        <v>13</v>
      </c>
      <c r="D59" s="27"/>
      <c r="E59" s="27"/>
      <c r="F59" s="179"/>
      <c r="G59" s="188"/>
    </row>
    <row r="60" spans="1:9" ht="15" customHeight="1" thickBot="1">
      <c r="A60" s="6"/>
      <c r="B60" s="67" t="s">
        <v>75</v>
      </c>
      <c r="C60" s="68" t="s">
        <v>13</v>
      </c>
      <c r="D60" s="27"/>
      <c r="E60" s="27"/>
      <c r="F60" s="179"/>
      <c r="G60" s="188"/>
    </row>
    <row r="61" spans="1:9" ht="15.75" thickBot="1">
      <c r="A61" s="6"/>
      <c r="B61" s="83" t="s">
        <v>47</v>
      </c>
      <c r="C61" s="84" t="s">
        <v>1</v>
      </c>
      <c r="D61" s="84">
        <f>SUM(D30:D60)</f>
        <v>142147650</v>
      </c>
      <c r="E61" s="98"/>
      <c r="F61" s="98"/>
      <c r="G61" s="191">
        <f>SUM(G30:G60)</f>
        <v>172796237.55906424</v>
      </c>
      <c r="I61" s="96"/>
    </row>
    <row r="62" spans="1:9" ht="15.75" thickBot="1">
      <c r="A62" s="6"/>
      <c r="B62" s="83" t="s">
        <v>89</v>
      </c>
      <c r="C62" s="84" t="s">
        <v>1</v>
      </c>
      <c r="D62" s="84">
        <f>+D29-D61</f>
        <v>12924549</v>
      </c>
      <c r="E62" s="98"/>
      <c r="F62" s="98"/>
      <c r="G62" s="192"/>
      <c r="I62" s="96"/>
    </row>
    <row r="63" spans="1:9" ht="15.75" customHeight="1" thickBot="1">
      <c r="A63" s="6"/>
      <c r="B63" s="85" t="s">
        <v>48</v>
      </c>
      <c r="C63" s="86" t="s">
        <v>0</v>
      </c>
      <c r="D63" s="98"/>
      <c r="E63" s="98"/>
      <c r="F63" s="193"/>
      <c r="G63" s="191">
        <f>+G46+G47</f>
        <v>34646</v>
      </c>
      <c r="I63" s="97"/>
    </row>
    <row r="64" spans="1:9" ht="15.75" customHeight="1" thickBot="1">
      <c r="A64" s="6"/>
      <c r="B64" s="72" t="s">
        <v>51</v>
      </c>
      <c r="C64" s="16" t="s">
        <v>1</v>
      </c>
      <c r="D64" s="99"/>
      <c r="E64" s="99"/>
      <c r="F64" s="194"/>
      <c r="G64" s="191">
        <f>+G29-G61+G63</f>
        <v>-14903966.155304253</v>
      </c>
      <c r="I64" s="96"/>
    </row>
    <row r="65" spans="1:7" ht="15.75" customHeight="1" thickBot="1">
      <c r="A65" s="6"/>
      <c r="B65" s="72" t="s">
        <v>52</v>
      </c>
      <c r="C65" s="73"/>
      <c r="D65" s="110"/>
      <c r="E65" s="110"/>
      <c r="F65" s="110"/>
      <c r="G65" s="191"/>
    </row>
    <row r="66" spans="1:7" ht="15.75" thickBot="1">
      <c r="A66" s="6"/>
      <c r="B66" s="61" t="s">
        <v>9</v>
      </c>
      <c r="C66" s="56" t="s">
        <v>13</v>
      </c>
      <c r="D66" s="100"/>
      <c r="E66" s="100"/>
      <c r="F66" s="195"/>
      <c r="G66" s="191">
        <f>+D86</f>
        <v>0</v>
      </c>
    </row>
    <row r="67" spans="1:7" ht="15.75" customHeight="1" thickBot="1">
      <c r="A67" s="6"/>
      <c r="B67" s="60" t="s">
        <v>4</v>
      </c>
      <c r="C67" s="68" t="s">
        <v>13</v>
      </c>
      <c r="D67" s="101"/>
      <c r="E67" s="101"/>
      <c r="F67" s="196"/>
      <c r="G67" s="191"/>
    </row>
    <row r="68" spans="1:7" ht="15.75" customHeight="1" thickBot="1">
      <c r="A68" s="6"/>
      <c r="B68" s="69" t="s">
        <v>50</v>
      </c>
      <c r="C68" s="18" t="s">
        <v>1</v>
      </c>
      <c r="D68" s="98"/>
      <c r="E68" s="98"/>
      <c r="F68" s="193"/>
      <c r="G68" s="191">
        <f>+G64-G66-G67</f>
        <v>-14903966.155304253</v>
      </c>
    </row>
    <row r="69" spans="1:7" ht="15.75" customHeight="1" thickBot="1">
      <c r="A69" s="5"/>
      <c r="B69" s="71"/>
      <c r="C69" s="95"/>
      <c r="D69" s="102"/>
      <c r="E69" s="102"/>
      <c r="F69" s="102"/>
      <c r="G69" s="191"/>
    </row>
    <row r="70" spans="1:7" ht="15.75" thickBot="1">
      <c r="B70" s="91" t="s">
        <v>53</v>
      </c>
      <c r="C70" s="92"/>
      <c r="D70" s="111"/>
      <c r="E70" s="111"/>
      <c r="F70" s="111"/>
      <c r="G70" s="191"/>
    </row>
    <row r="71" spans="1:7" ht="15.75" thickBot="1">
      <c r="B71" s="65" t="s">
        <v>6</v>
      </c>
      <c r="C71" s="9" t="s">
        <v>0</v>
      </c>
      <c r="D71" s="103"/>
      <c r="E71" s="103"/>
      <c r="F71" s="197"/>
      <c r="G71" s="191"/>
    </row>
    <row r="72" spans="1:7" ht="15.75" thickBot="1">
      <c r="B72" s="60" t="s">
        <v>7</v>
      </c>
      <c r="C72" s="13" t="s">
        <v>0</v>
      </c>
      <c r="D72" s="104"/>
      <c r="E72" s="104"/>
      <c r="F72" s="198"/>
      <c r="G72" s="191"/>
    </row>
    <row r="73" spans="1:7" ht="15.75" thickBot="1">
      <c r="B73" s="69" t="s">
        <v>8</v>
      </c>
      <c r="C73" s="18" t="s">
        <v>1</v>
      </c>
      <c r="D73" s="98"/>
      <c r="E73" s="98"/>
      <c r="F73" s="193"/>
      <c r="G73" s="191"/>
    </row>
    <row r="74" spans="1:7" ht="15.75" thickBot="1">
      <c r="B74" s="4"/>
      <c r="C74" s="46"/>
      <c r="D74" s="98"/>
      <c r="E74" s="98"/>
      <c r="F74" s="193"/>
      <c r="G74" s="199"/>
    </row>
    <row r="75" spans="1:7" ht="15.75" thickBot="1">
      <c r="B75" s="91" t="s">
        <v>129</v>
      </c>
      <c r="C75" s="92"/>
      <c r="D75" s="98"/>
      <c r="E75" s="98"/>
      <c r="F75" s="193"/>
      <c r="G75" s="200"/>
    </row>
    <row r="76" spans="1:7" ht="15.75" thickBot="1">
      <c r="B76" s="82" t="s">
        <v>70</v>
      </c>
      <c r="C76" s="9" t="s">
        <v>0</v>
      </c>
      <c r="D76" s="98"/>
      <c r="E76" s="98"/>
      <c r="F76" s="193"/>
      <c r="G76" s="201">
        <f>+G44</f>
        <v>0</v>
      </c>
    </row>
    <row r="77" spans="1:7" ht="15.75" thickBot="1">
      <c r="B77" s="69" t="s">
        <v>82</v>
      </c>
      <c r="C77" s="18" t="s">
        <v>1</v>
      </c>
      <c r="D77" s="98"/>
      <c r="E77" s="98"/>
      <c r="F77" s="193"/>
      <c r="G77" s="187">
        <f t="shared" ref="G77" si="4">+G76</f>
        <v>0</v>
      </c>
    </row>
    <row r="80" spans="1:7" ht="15.75">
      <c r="B80" s="156" t="s">
        <v>130</v>
      </c>
      <c r="C80" s="157"/>
      <c r="D80" s="5"/>
      <c r="G80" s="115"/>
    </row>
    <row r="81" spans="2:7" ht="15.75">
      <c r="B81" s="158" t="s">
        <v>131</v>
      </c>
      <c r="C81" s="159"/>
      <c r="D81" s="5"/>
    </row>
    <row r="82" spans="2:7">
      <c r="B82" s="160" t="s">
        <v>132</v>
      </c>
      <c r="C82" s="161"/>
      <c r="D82" s="162"/>
      <c r="G82" s="115"/>
    </row>
    <row r="83" spans="2:7">
      <c r="B83" s="163" t="s">
        <v>133</v>
      </c>
      <c r="C83" s="164"/>
      <c r="D83" s="165"/>
    </row>
    <row r="84" spans="2:7">
      <c r="B84" s="163" t="s">
        <v>134</v>
      </c>
      <c r="C84" s="164"/>
      <c r="D84" s="165"/>
    </row>
    <row r="85" spans="2:7">
      <c r="B85" s="160" t="s">
        <v>135</v>
      </c>
      <c r="C85" s="166"/>
      <c r="D85" s="162">
        <f>+D82-D83-D84</f>
        <v>0</v>
      </c>
    </row>
    <row r="86" spans="2:7">
      <c r="B86" s="167">
        <v>0.5</v>
      </c>
      <c r="C86" s="168"/>
      <c r="D86" s="169">
        <f>+D85*B86</f>
        <v>0</v>
      </c>
    </row>
    <row r="87" spans="2:7">
      <c r="D87" s="169"/>
    </row>
    <row r="88" spans="2:7">
      <c r="B88" s="328" t="s">
        <v>264</v>
      </c>
      <c r="C88" s="46"/>
      <c r="D88" s="329"/>
    </row>
    <row r="89" spans="2:7">
      <c r="B89" s="330" t="s">
        <v>265</v>
      </c>
      <c r="C89" s="46"/>
      <c r="D89" s="331">
        <f>+'ANTECEDENTES  '!E15</f>
        <v>45782814</v>
      </c>
    </row>
    <row r="90" spans="2:7">
      <c r="B90" s="330" t="s">
        <v>270</v>
      </c>
      <c r="C90" s="46"/>
      <c r="D90" s="331">
        <f>+D89*1.4%</f>
        <v>640959.39599999995</v>
      </c>
    </row>
    <row r="91" spans="2:7">
      <c r="B91" s="330" t="s">
        <v>266</v>
      </c>
      <c r="C91" s="46"/>
      <c r="D91" s="331">
        <f>+D89+D90</f>
        <v>46423773.395999998</v>
      </c>
    </row>
    <row r="92" spans="2:7">
      <c r="B92" s="332" t="s">
        <v>267</v>
      </c>
      <c r="C92" s="46"/>
      <c r="D92" s="329"/>
    </row>
    <row r="93" spans="2:7">
      <c r="B93" s="333"/>
      <c r="C93" s="46"/>
      <c r="D93" s="334">
        <v>0.06</v>
      </c>
      <c r="E93" s="338" t="s">
        <v>273</v>
      </c>
    </row>
    <row r="94" spans="2:7">
      <c r="B94" s="328" t="s">
        <v>268</v>
      </c>
      <c r="C94" s="46"/>
      <c r="D94" s="335">
        <f>+D91*D93</f>
        <v>2785426.4037599997</v>
      </c>
    </row>
    <row r="95" spans="2:7">
      <c r="B95" s="330" t="s">
        <v>269</v>
      </c>
      <c r="C95" s="46"/>
      <c r="D95" s="331">
        <f>+D91-D94</f>
        <v>43638346.992239997</v>
      </c>
    </row>
    <row r="96" spans="2:7" ht="15.75" thickBot="1">
      <c r="B96" s="336"/>
      <c r="C96" s="73"/>
      <c r="D96" s="337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28" zoomScaleNormal="100" workbookViewId="0">
      <selection activeCell="L13" sqref="L13:P13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57" t="s">
        <v>14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S2" s="21"/>
    </row>
    <row r="3" spans="3:22" s="31" customFormat="1" ht="23.45" customHeight="1" thickBot="1">
      <c r="C3" s="260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2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63" t="s">
        <v>15</v>
      </c>
      <c r="M4" s="264"/>
      <c r="N4" s="264"/>
      <c r="O4" s="264"/>
      <c r="P4" s="265"/>
      <c r="Q4" s="35"/>
    </row>
    <row r="5" spans="3:22" ht="27" customHeight="1">
      <c r="C5" s="266" t="s">
        <v>16</v>
      </c>
      <c r="D5" s="267"/>
      <c r="E5" s="267"/>
      <c r="F5" s="267"/>
      <c r="G5" s="267"/>
      <c r="H5" s="267"/>
      <c r="I5" s="267"/>
      <c r="J5" s="267"/>
      <c r="K5" s="24">
        <v>1400</v>
      </c>
      <c r="L5" s="268">
        <f>+'BASE IMPONIBLE AT 2021'!G6</f>
        <v>124038400</v>
      </c>
      <c r="M5" s="269"/>
      <c r="N5" s="269"/>
      <c r="O5" s="269"/>
      <c r="P5" s="270"/>
      <c r="Q5" s="8" t="s">
        <v>0</v>
      </c>
    </row>
    <row r="6" spans="3:22" ht="27" customHeight="1">
      <c r="C6" s="252" t="s">
        <v>17</v>
      </c>
      <c r="D6" s="253"/>
      <c r="E6" s="253"/>
      <c r="F6" s="253"/>
      <c r="G6" s="253"/>
      <c r="H6" s="253"/>
      <c r="I6" s="253"/>
      <c r="J6" s="253"/>
      <c r="K6" s="26">
        <v>1401</v>
      </c>
      <c r="L6" s="254">
        <f>+'BASE IMPONIBLE AT2022'!G9</f>
        <v>0</v>
      </c>
      <c r="M6" s="255"/>
      <c r="N6" s="255"/>
      <c r="O6" s="255"/>
      <c r="P6" s="256"/>
      <c r="Q6" s="10" t="s">
        <v>0</v>
      </c>
    </row>
    <row r="7" spans="3:22" ht="27" customHeight="1">
      <c r="C7" s="36" t="s">
        <v>18</v>
      </c>
      <c r="D7" s="17"/>
      <c r="E7" s="17"/>
      <c r="F7" s="17"/>
      <c r="G7" s="17"/>
      <c r="H7" s="17"/>
      <c r="I7" s="17"/>
      <c r="J7" s="17"/>
      <c r="K7" s="26">
        <v>1402</v>
      </c>
      <c r="L7" s="254">
        <f>+'BASE IMPONIBLE AT2022'!G10</f>
        <v>0</v>
      </c>
      <c r="M7" s="255"/>
      <c r="N7" s="255"/>
      <c r="O7" s="255"/>
      <c r="P7" s="256"/>
      <c r="Q7" s="10" t="s">
        <v>0</v>
      </c>
    </row>
    <row r="8" spans="3:22" ht="27" customHeight="1">
      <c r="C8" s="271" t="s">
        <v>19</v>
      </c>
      <c r="D8" s="272"/>
      <c r="E8" s="272"/>
      <c r="F8" s="272"/>
      <c r="G8" s="272"/>
      <c r="H8" s="272"/>
      <c r="I8" s="272"/>
      <c r="J8" s="272"/>
      <c r="K8" s="26">
        <v>1403</v>
      </c>
      <c r="L8" s="254">
        <f>+'BASE IMPONIBLE AT2022'!G11</f>
        <v>0</v>
      </c>
      <c r="M8" s="255"/>
      <c r="N8" s="255"/>
      <c r="O8" s="255"/>
      <c r="P8" s="256"/>
      <c r="Q8" s="10" t="s">
        <v>0</v>
      </c>
    </row>
    <row r="9" spans="3:22" ht="27" customHeight="1">
      <c r="C9" s="271" t="s">
        <v>20</v>
      </c>
      <c r="D9" s="272"/>
      <c r="E9" s="272"/>
      <c r="F9" s="272"/>
      <c r="G9" s="272"/>
      <c r="H9" s="272"/>
      <c r="I9" s="272"/>
      <c r="J9" s="272"/>
      <c r="K9" s="26">
        <v>1587</v>
      </c>
      <c r="L9" s="254">
        <f>+'BASE IMPONIBLE AT 2021'!G12</f>
        <v>31009600</v>
      </c>
      <c r="M9" s="255"/>
      <c r="N9" s="255"/>
      <c r="O9" s="255"/>
      <c r="P9" s="256"/>
      <c r="Q9" s="10" t="s">
        <v>0</v>
      </c>
    </row>
    <row r="10" spans="3:22" ht="27" customHeight="1">
      <c r="C10" s="252" t="s">
        <v>2</v>
      </c>
      <c r="D10" s="253"/>
      <c r="E10" s="253"/>
      <c r="F10" s="253"/>
      <c r="G10" s="253"/>
      <c r="H10" s="253"/>
      <c r="I10" s="253"/>
      <c r="J10" s="253"/>
      <c r="K10" s="26">
        <v>1588</v>
      </c>
      <c r="L10" s="254">
        <f>+'BASE IMPONIBLE AT 2021'!G15</f>
        <v>24199</v>
      </c>
      <c r="M10" s="255"/>
      <c r="N10" s="255"/>
      <c r="O10" s="255"/>
      <c r="P10" s="256"/>
      <c r="Q10" s="10" t="s">
        <v>0</v>
      </c>
    </row>
    <row r="11" spans="3:22" ht="54.6" customHeight="1">
      <c r="C11" s="271" t="s">
        <v>21</v>
      </c>
      <c r="D11" s="272"/>
      <c r="E11" s="272"/>
      <c r="F11" s="272"/>
      <c r="G11" s="272"/>
      <c r="H11" s="272"/>
      <c r="I11" s="272"/>
      <c r="J11" s="272"/>
      <c r="K11" s="26">
        <v>1404</v>
      </c>
      <c r="L11" s="254">
        <f>+'BASE IMPONIBLE AT2022'!G27</f>
        <v>0</v>
      </c>
      <c r="M11" s="255"/>
      <c r="N11" s="255"/>
      <c r="O11" s="255"/>
      <c r="P11" s="256"/>
      <c r="Q11" s="10" t="s">
        <v>0</v>
      </c>
    </row>
    <row r="12" spans="3:22" ht="27" customHeight="1" thickBot="1">
      <c r="C12" s="273" t="s">
        <v>22</v>
      </c>
      <c r="D12" s="274"/>
      <c r="E12" s="274"/>
      <c r="F12" s="274"/>
      <c r="G12" s="274"/>
      <c r="H12" s="274"/>
      <c r="I12" s="274"/>
      <c r="J12" s="274"/>
      <c r="K12" s="25">
        <v>1405</v>
      </c>
      <c r="L12" s="275">
        <f>+'BASE IMPONIBLE AT 2021'!G28</f>
        <v>2785426.4037599997</v>
      </c>
      <c r="M12" s="276"/>
      <c r="N12" s="276"/>
      <c r="O12" s="276"/>
      <c r="P12" s="277"/>
      <c r="Q12" s="37" t="s">
        <v>0</v>
      </c>
    </row>
    <row r="13" spans="3:22" ht="27" customHeight="1" thickBot="1">
      <c r="C13" s="278" t="s">
        <v>23</v>
      </c>
      <c r="D13" s="279"/>
      <c r="E13" s="279"/>
      <c r="F13" s="279"/>
      <c r="G13" s="279"/>
      <c r="H13" s="279"/>
      <c r="I13" s="279"/>
      <c r="J13" s="280"/>
      <c r="K13" s="18">
        <v>1410</v>
      </c>
      <c r="L13" s="281">
        <f>SUM(L5:P12)</f>
        <v>157857625.40375999</v>
      </c>
      <c r="M13" s="281"/>
      <c r="N13" s="281"/>
      <c r="O13" s="281"/>
      <c r="P13" s="281"/>
      <c r="Q13" s="23" t="s">
        <v>1</v>
      </c>
    </row>
    <row r="14" spans="3:22" ht="27" customHeight="1" thickBot="1">
      <c r="C14" s="282" t="s">
        <v>24</v>
      </c>
      <c r="D14" s="283"/>
      <c r="E14" s="283"/>
      <c r="F14" s="283"/>
      <c r="G14" s="283"/>
      <c r="H14" s="283"/>
      <c r="I14" s="283"/>
      <c r="J14" s="284"/>
      <c r="K14" s="117">
        <v>1406</v>
      </c>
      <c r="L14" s="269">
        <f>+'BASE IMPONIBLE AT 2021'!G30</f>
        <v>0</v>
      </c>
      <c r="M14" s="269"/>
      <c r="N14" s="269"/>
      <c r="O14" s="269"/>
      <c r="P14" s="269"/>
      <c r="Q14" s="38" t="s">
        <v>13</v>
      </c>
      <c r="S14" s="19" t="s">
        <v>25</v>
      </c>
      <c r="T14" s="19"/>
      <c r="U14" s="19"/>
      <c r="V14" s="19"/>
    </row>
    <row r="15" spans="3:22" ht="27" customHeight="1" thickBot="1">
      <c r="C15" s="271" t="s">
        <v>26</v>
      </c>
      <c r="D15" s="272"/>
      <c r="E15" s="272"/>
      <c r="F15" s="272"/>
      <c r="G15" s="272"/>
      <c r="H15" s="272"/>
      <c r="I15" s="272"/>
      <c r="J15" s="285"/>
      <c r="K15" s="9">
        <v>1407</v>
      </c>
      <c r="L15" s="269">
        <f>+'BASE IMPONIBLE AT 2021'!G31</f>
        <v>6478365.533854166</v>
      </c>
      <c r="M15" s="269"/>
      <c r="N15" s="269"/>
      <c r="O15" s="269"/>
      <c r="P15" s="269"/>
      <c r="Q15" s="11" t="s">
        <v>13</v>
      </c>
      <c r="S15" s="19" t="s">
        <v>25</v>
      </c>
    </row>
    <row r="16" spans="3:22" ht="27" customHeight="1" thickBot="1">
      <c r="C16" s="271" t="s">
        <v>27</v>
      </c>
      <c r="D16" s="272"/>
      <c r="E16" s="272"/>
      <c r="F16" s="272"/>
      <c r="G16" s="272"/>
      <c r="H16" s="272"/>
      <c r="I16" s="272"/>
      <c r="J16" s="285"/>
      <c r="K16" s="9">
        <v>1408</v>
      </c>
      <c r="L16" s="269">
        <f>+'BASE IMPONIBLE AT 2021'!G32</f>
        <v>3752309</v>
      </c>
      <c r="M16" s="269"/>
      <c r="N16" s="269"/>
      <c r="O16" s="269"/>
      <c r="P16" s="269"/>
      <c r="Q16" s="11" t="s">
        <v>13</v>
      </c>
      <c r="S16" s="19" t="s">
        <v>25</v>
      </c>
    </row>
    <row r="17" spans="3:17" ht="27" customHeight="1" thickBot="1">
      <c r="C17" s="271" t="s">
        <v>28</v>
      </c>
      <c r="D17" s="272"/>
      <c r="E17" s="272"/>
      <c r="F17" s="272"/>
      <c r="G17" s="272"/>
      <c r="H17" s="272"/>
      <c r="I17" s="272"/>
      <c r="J17" s="285"/>
      <c r="K17" s="9">
        <v>1409</v>
      </c>
      <c r="L17" s="269">
        <f>+'BASE IMPONIBLE AT 2021'!G33</f>
        <v>6364714</v>
      </c>
      <c r="M17" s="269"/>
      <c r="N17" s="269"/>
      <c r="O17" s="269"/>
      <c r="P17" s="269"/>
      <c r="Q17" s="11" t="s">
        <v>13</v>
      </c>
    </row>
    <row r="18" spans="3:17" ht="27" customHeight="1" thickBot="1">
      <c r="C18" s="271" t="s">
        <v>29</v>
      </c>
      <c r="D18" s="272"/>
      <c r="E18" s="272"/>
      <c r="F18" s="272"/>
      <c r="G18" s="272"/>
      <c r="H18" s="272"/>
      <c r="I18" s="272"/>
      <c r="J18" s="285"/>
      <c r="K18" s="9">
        <v>1429</v>
      </c>
      <c r="L18" s="269">
        <f>+'BASE IMPONIBLE AT 2021'!G34</f>
        <v>0</v>
      </c>
      <c r="M18" s="269"/>
      <c r="N18" s="269"/>
      <c r="O18" s="269"/>
      <c r="P18" s="269"/>
      <c r="Q18" s="11" t="s">
        <v>13</v>
      </c>
    </row>
    <row r="19" spans="3:17" ht="27" customHeight="1" thickBot="1">
      <c r="C19" s="271" t="s">
        <v>30</v>
      </c>
      <c r="D19" s="272"/>
      <c r="E19" s="272"/>
      <c r="F19" s="272"/>
      <c r="G19" s="272"/>
      <c r="H19" s="272"/>
      <c r="I19" s="272"/>
      <c r="J19" s="285"/>
      <c r="K19" s="9">
        <v>1411</v>
      </c>
      <c r="L19" s="269">
        <f>+'BASE IMPONIBLE AT 2021'!G35</f>
        <v>28913234</v>
      </c>
      <c r="M19" s="269"/>
      <c r="N19" s="269"/>
      <c r="O19" s="269"/>
      <c r="P19" s="269"/>
      <c r="Q19" s="11" t="s">
        <v>13</v>
      </c>
    </row>
    <row r="20" spans="3:17" ht="27" customHeight="1" thickBot="1">
      <c r="C20" s="271" t="s">
        <v>31</v>
      </c>
      <c r="D20" s="272"/>
      <c r="E20" s="272"/>
      <c r="F20" s="272"/>
      <c r="G20" s="272"/>
      <c r="H20" s="272"/>
      <c r="I20" s="272"/>
      <c r="J20" s="285"/>
      <c r="K20" s="9">
        <v>1412</v>
      </c>
      <c r="L20" s="269">
        <f>+'BASE IMPONIBLE AT 2021'!G36</f>
        <v>1049106</v>
      </c>
      <c r="M20" s="269"/>
      <c r="N20" s="269"/>
      <c r="O20" s="269"/>
      <c r="P20" s="269"/>
      <c r="Q20" s="11" t="s">
        <v>13</v>
      </c>
    </row>
    <row r="21" spans="3:17" ht="27" customHeight="1" thickBot="1">
      <c r="C21" s="271" t="s">
        <v>32</v>
      </c>
      <c r="D21" s="272"/>
      <c r="E21" s="272"/>
      <c r="F21" s="272"/>
      <c r="G21" s="272"/>
      <c r="H21" s="272"/>
      <c r="I21" s="272"/>
      <c r="J21" s="285"/>
      <c r="K21" s="9">
        <v>1413</v>
      </c>
      <c r="L21" s="269">
        <f>+'BASE IMPONIBLE AT 2021'!G37</f>
        <v>45782814</v>
      </c>
      <c r="M21" s="269"/>
      <c r="N21" s="269"/>
      <c r="O21" s="269"/>
      <c r="P21" s="269"/>
      <c r="Q21" s="11" t="s">
        <v>13</v>
      </c>
    </row>
    <row r="22" spans="3:17" ht="27" customHeight="1" thickBot="1">
      <c r="C22" s="271" t="s">
        <v>33</v>
      </c>
      <c r="D22" s="272"/>
      <c r="E22" s="272"/>
      <c r="F22" s="272"/>
      <c r="G22" s="272"/>
      <c r="H22" s="272"/>
      <c r="I22" s="272"/>
      <c r="J22" s="285"/>
      <c r="K22" s="9">
        <v>1414</v>
      </c>
      <c r="L22" s="269">
        <f>+'BASE IMPONIBLE AT 2021'!G38</f>
        <v>0</v>
      </c>
      <c r="M22" s="269"/>
      <c r="N22" s="269"/>
      <c r="O22" s="269"/>
      <c r="P22" s="269"/>
      <c r="Q22" s="11" t="s">
        <v>13</v>
      </c>
    </row>
    <row r="23" spans="3:17" ht="27" customHeight="1" thickBot="1">
      <c r="C23" s="271" t="s">
        <v>34</v>
      </c>
      <c r="D23" s="272"/>
      <c r="E23" s="272"/>
      <c r="F23" s="272"/>
      <c r="G23" s="272"/>
      <c r="H23" s="272"/>
      <c r="I23" s="272"/>
      <c r="J23" s="285"/>
      <c r="K23" s="9">
        <v>1415</v>
      </c>
      <c r="L23" s="269">
        <f>+'BASE IMPONIBLE AT 2021'!G39</f>
        <v>0</v>
      </c>
      <c r="M23" s="269"/>
      <c r="N23" s="269"/>
      <c r="O23" s="269"/>
      <c r="P23" s="269"/>
      <c r="Q23" s="11" t="s">
        <v>13</v>
      </c>
    </row>
    <row r="24" spans="3:17" ht="27" customHeight="1" thickBot="1">
      <c r="C24" s="286" t="s">
        <v>35</v>
      </c>
      <c r="D24" s="287"/>
      <c r="E24" s="287"/>
      <c r="F24" s="287"/>
      <c r="G24" s="287"/>
      <c r="H24" s="287"/>
      <c r="I24" s="287"/>
      <c r="J24" s="288"/>
      <c r="K24" s="9">
        <v>1416</v>
      </c>
      <c r="L24" s="269">
        <f>+'BASE IMPONIBLE AT 2021'!G40</f>
        <v>0</v>
      </c>
      <c r="M24" s="269"/>
      <c r="N24" s="269"/>
      <c r="O24" s="269"/>
      <c r="P24" s="269"/>
      <c r="Q24" s="11" t="s">
        <v>13</v>
      </c>
    </row>
    <row r="25" spans="3:17" ht="27" customHeight="1" thickBot="1">
      <c r="C25" s="286" t="s">
        <v>36</v>
      </c>
      <c r="D25" s="287"/>
      <c r="E25" s="287"/>
      <c r="F25" s="287"/>
      <c r="G25" s="287"/>
      <c r="H25" s="287"/>
      <c r="I25" s="287"/>
      <c r="J25" s="288"/>
      <c r="K25" s="9">
        <v>1417</v>
      </c>
      <c r="L25" s="269">
        <f>+'BASE IMPONIBLE AT 2021'!G41</f>
        <v>0</v>
      </c>
      <c r="M25" s="269"/>
      <c r="N25" s="269"/>
      <c r="O25" s="269"/>
      <c r="P25" s="269"/>
      <c r="Q25" s="11" t="s">
        <v>13</v>
      </c>
    </row>
    <row r="26" spans="3:17" ht="27" customHeight="1" thickBot="1">
      <c r="C26" s="286" t="s">
        <v>37</v>
      </c>
      <c r="D26" s="287"/>
      <c r="E26" s="287"/>
      <c r="F26" s="287"/>
      <c r="G26" s="287"/>
      <c r="H26" s="287"/>
      <c r="I26" s="287"/>
      <c r="J26" s="288"/>
      <c r="K26" s="9">
        <v>1418</v>
      </c>
      <c r="L26" s="269">
        <f>+'BASE IMPONIBLE AT 2021'!G42</f>
        <v>0</v>
      </c>
      <c r="M26" s="269"/>
      <c r="N26" s="269"/>
      <c r="O26" s="269"/>
      <c r="P26" s="269"/>
      <c r="Q26" s="11" t="s">
        <v>13</v>
      </c>
    </row>
    <row r="27" spans="3:17" ht="27" customHeight="1" thickBot="1">
      <c r="C27" s="286" t="s">
        <v>38</v>
      </c>
      <c r="D27" s="287"/>
      <c r="E27" s="287"/>
      <c r="F27" s="287"/>
      <c r="G27" s="287"/>
      <c r="H27" s="287"/>
      <c r="I27" s="287"/>
      <c r="J27" s="288"/>
      <c r="K27" s="9">
        <v>1419</v>
      </c>
      <c r="L27" s="269">
        <f>+'BASE IMPONIBLE AT 2021'!G43</f>
        <v>0</v>
      </c>
      <c r="M27" s="269"/>
      <c r="N27" s="269"/>
      <c r="O27" s="269"/>
      <c r="P27" s="269"/>
      <c r="Q27" s="11" t="s">
        <v>13</v>
      </c>
    </row>
    <row r="28" spans="3:17" ht="27" customHeight="1" thickBot="1">
      <c r="C28" s="286" t="s">
        <v>39</v>
      </c>
      <c r="D28" s="287"/>
      <c r="E28" s="287"/>
      <c r="F28" s="287"/>
      <c r="G28" s="287"/>
      <c r="H28" s="287"/>
      <c r="I28" s="287"/>
      <c r="J28" s="288"/>
      <c r="K28" s="9">
        <v>1420</v>
      </c>
      <c r="L28" s="269">
        <f>+'BASE IMPONIBLE AT 2021'!G44</f>
        <v>0</v>
      </c>
      <c r="M28" s="269"/>
      <c r="N28" s="269"/>
      <c r="O28" s="269"/>
      <c r="P28" s="269"/>
      <c r="Q28" s="11" t="s">
        <v>13</v>
      </c>
    </row>
    <row r="29" spans="3:17" ht="27" customHeight="1" thickBot="1">
      <c r="C29" s="286" t="s">
        <v>40</v>
      </c>
      <c r="D29" s="287"/>
      <c r="E29" s="287"/>
      <c r="F29" s="287"/>
      <c r="G29" s="287"/>
      <c r="H29" s="287"/>
      <c r="I29" s="287"/>
      <c r="J29" s="288"/>
      <c r="K29" s="9">
        <v>1421</v>
      </c>
      <c r="L29" s="269">
        <f>+'BASE IMPONIBLE AT 2021'!G45</f>
        <v>0</v>
      </c>
      <c r="M29" s="269"/>
      <c r="N29" s="269"/>
      <c r="O29" s="269"/>
      <c r="P29" s="269"/>
      <c r="Q29" s="11" t="s">
        <v>13</v>
      </c>
    </row>
    <row r="30" spans="3:17" ht="27" customHeight="1" thickBot="1">
      <c r="C30" s="286" t="s">
        <v>41</v>
      </c>
      <c r="D30" s="287"/>
      <c r="E30" s="287"/>
      <c r="F30" s="287"/>
      <c r="G30" s="287"/>
      <c r="H30" s="287"/>
      <c r="I30" s="287"/>
      <c r="J30" s="288"/>
      <c r="K30" s="9">
        <v>1422</v>
      </c>
      <c r="L30" s="269">
        <f>+'BASE IMPONIBLE AT 2021'!G47</f>
        <v>34646</v>
      </c>
      <c r="M30" s="269"/>
      <c r="N30" s="269"/>
      <c r="O30" s="269"/>
      <c r="P30" s="269"/>
      <c r="Q30" s="11" t="s">
        <v>13</v>
      </c>
    </row>
    <row r="31" spans="3:17" ht="27" customHeight="1" thickBot="1">
      <c r="C31" s="286" t="s">
        <v>42</v>
      </c>
      <c r="D31" s="287"/>
      <c r="E31" s="287"/>
      <c r="F31" s="287"/>
      <c r="G31" s="287"/>
      <c r="H31" s="287"/>
      <c r="I31" s="287"/>
      <c r="J31" s="288"/>
      <c r="K31" s="9">
        <v>1423</v>
      </c>
      <c r="L31" s="269"/>
      <c r="M31" s="269"/>
      <c r="N31" s="269"/>
      <c r="O31" s="269"/>
      <c r="P31" s="269"/>
      <c r="Q31" s="11" t="s">
        <v>13</v>
      </c>
    </row>
    <row r="32" spans="3:17" ht="27" customHeight="1" thickBot="1">
      <c r="C32" s="286" t="s">
        <v>43</v>
      </c>
      <c r="D32" s="287"/>
      <c r="E32" s="287"/>
      <c r="F32" s="287"/>
      <c r="G32" s="287"/>
      <c r="H32" s="287"/>
      <c r="I32" s="287"/>
      <c r="J32" s="288"/>
      <c r="K32" s="9">
        <v>1424</v>
      </c>
      <c r="L32" s="269">
        <f>+'BASE IMPONIBLE AT 2021'!G49</f>
        <v>80421049.025210083</v>
      </c>
      <c r="M32" s="269"/>
      <c r="N32" s="269"/>
      <c r="O32" s="269"/>
      <c r="P32" s="269"/>
      <c r="Q32" s="11" t="s">
        <v>13</v>
      </c>
    </row>
    <row r="33" spans="3:17" ht="35.450000000000003" customHeight="1" thickBot="1">
      <c r="C33" s="289" t="s">
        <v>44</v>
      </c>
      <c r="D33" s="290"/>
      <c r="E33" s="290"/>
      <c r="F33" s="290"/>
      <c r="G33" s="290"/>
      <c r="H33" s="290"/>
      <c r="I33" s="290"/>
      <c r="J33" s="290"/>
      <c r="K33" s="14">
        <v>1425</v>
      </c>
      <c r="L33" s="269"/>
      <c r="M33" s="269"/>
      <c r="N33" s="269"/>
      <c r="O33" s="269"/>
      <c r="P33" s="269"/>
      <c r="Q33" s="15" t="s">
        <v>13</v>
      </c>
    </row>
    <row r="34" spans="3:17" ht="27" customHeight="1" thickBot="1">
      <c r="C34" s="289" t="s">
        <v>45</v>
      </c>
      <c r="D34" s="290"/>
      <c r="E34" s="290"/>
      <c r="F34" s="290"/>
      <c r="G34" s="290"/>
      <c r="H34" s="290"/>
      <c r="I34" s="290"/>
      <c r="J34" s="290"/>
      <c r="K34" s="14">
        <v>1426</v>
      </c>
      <c r="L34" s="269"/>
      <c r="M34" s="269"/>
      <c r="N34" s="269"/>
      <c r="O34" s="269"/>
      <c r="P34" s="269"/>
      <c r="Q34" s="15" t="s">
        <v>13</v>
      </c>
    </row>
    <row r="35" spans="3:17" ht="27" customHeight="1" thickBot="1">
      <c r="C35" s="291" t="s">
        <v>46</v>
      </c>
      <c r="D35" s="292"/>
      <c r="E35" s="292"/>
      <c r="F35" s="292"/>
      <c r="G35" s="292"/>
      <c r="H35" s="292"/>
      <c r="I35" s="292"/>
      <c r="J35" s="292"/>
      <c r="K35" s="14">
        <v>1427</v>
      </c>
      <c r="L35" s="269"/>
      <c r="M35" s="269"/>
      <c r="N35" s="269"/>
      <c r="O35" s="269"/>
      <c r="P35" s="269"/>
      <c r="Q35" s="15" t="s">
        <v>13</v>
      </c>
    </row>
    <row r="36" spans="3:17" ht="27" customHeight="1" thickBot="1">
      <c r="C36" s="273" t="s">
        <v>3</v>
      </c>
      <c r="D36" s="274"/>
      <c r="E36" s="274"/>
      <c r="F36" s="274"/>
      <c r="G36" s="274"/>
      <c r="H36" s="274"/>
      <c r="I36" s="274"/>
      <c r="J36" s="274"/>
      <c r="K36" s="22">
        <v>1428</v>
      </c>
      <c r="L36" s="269">
        <f>+'BASE IMPONIBLE AT 2021'!G52</f>
        <v>0</v>
      </c>
      <c r="M36" s="269"/>
      <c r="N36" s="269"/>
      <c r="O36" s="269"/>
      <c r="P36" s="269"/>
      <c r="Q36" s="39" t="s">
        <v>13</v>
      </c>
    </row>
    <row r="37" spans="3:17" ht="27" customHeight="1" thickBot="1">
      <c r="C37" s="278" t="s">
        <v>47</v>
      </c>
      <c r="D37" s="279"/>
      <c r="E37" s="279"/>
      <c r="F37" s="279"/>
      <c r="G37" s="279"/>
      <c r="H37" s="279"/>
      <c r="I37" s="279"/>
      <c r="J37" s="280"/>
      <c r="K37" s="18">
        <v>1430</v>
      </c>
      <c r="L37" s="293">
        <f>SUM(L14:P33)+L35+L36+L34</f>
        <v>172796237.55906424</v>
      </c>
      <c r="M37" s="293"/>
      <c r="N37" s="293"/>
      <c r="O37" s="293"/>
      <c r="P37" s="293"/>
      <c r="Q37" s="23" t="s">
        <v>1</v>
      </c>
    </row>
    <row r="38" spans="3:17" ht="40.700000000000003" customHeight="1" thickBot="1">
      <c r="C38" s="294" t="s">
        <v>48</v>
      </c>
      <c r="D38" s="295"/>
      <c r="E38" s="295"/>
      <c r="F38" s="295"/>
      <c r="G38" s="295"/>
      <c r="H38" s="295"/>
      <c r="I38" s="295"/>
      <c r="J38" s="295"/>
      <c r="K38" s="40">
        <v>1431</v>
      </c>
      <c r="L38" s="296">
        <f>+'BASE IMPONIBLE AT 2021'!G63</f>
        <v>34646</v>
      </c>
      <c r="M38" s="296"/>
      <c r="N38" s="296"/>
      <c r="O38" s="296"/>
      <c r="P38" s="296"/>
      <c r="Q38" s="41" t="s">
        <v>0</v>
      </c>
    </row>
    <row r="39" spans="3:17" ht="56.45" customHeight="1" thickBot="1">
      <c r="C39" s="297" t="s">
        <v>49</v>
      </c>
      <c r="D39" s="298"/>
      <c r="E39" s="298"/>
      <c r="F39" s="298"/>
      <c r="G39" s="298"/>
      <c r="H39" s="298"/>
      <c r="I39" s="298"/>
      <c r="J39" s="299"/>
      <c r="K39" s="18">
        <v>1729</v>
      </c>
      <c r="L39" s="300">
        <f>+L13-L37+L38</f>
        <v>-14903966.155304253</v>
      </c>
      <c r="M39" s="301"/>
      <c r="N39" s="301"/>
      <c r="O39" s="301"/>
      <c r="P39" s="302"/>
      <c r="Q39" s="23" t="s">
        <v>1</v>
      </c>
    </row>
    <row r="40" spans="3:17" ht="27" customHeight="1">
      <c r="C40" s="291" t="s">
        <v>9</v>
      </c>
      <c r="D40" s="292"/>
      <c r="E40" s="292"/>
      <c r="F40" s="292"/>
      <c r="G40" s="292"/>
      <c r="H40" s="292"/>
      <c r="I40" s="292"/>
      <c r="J40" s="303"/>
      <c r="K40" s="14">
        <v>1432</v>
      </c>
      <c r="L40" s="304">
        <f>+'BASE IMPONIBLE AT2022'!G67</f>
        <v>0</v>
      </c>
      <c r="M40" s="304"/>
      <c r="N40" s="304"/>
      <c r="O40" s="304"/>
      <c r="P40" s="304"/>
      <c r="Q40" s="15" t="s">
        <v>13</v>
      </c>
    </row>
    <row r="41" spans="3:17" ht="27" customHeight="1" thickBot="1">
      <c r="C41" s="273" t="s">
        <v>4</v>
      </c>
      <c r="D41" s="274"/>
      <c r="E41" s="274"/>
      <c r="F41" s="274"/>
      <c r="G41" s="274"/>
      <c r="H41" s="274"/>
      <c r="I41" s="274"/>
      <c r="J41" s="305"/>
      <c r="K41" s="22">
        <v>1433</v>
      </c>
      <c r="L41" s="304">
        <f>+'BASE IMPONIBLE AT2022'!G68</f>
        <v>0</v>
      </c>
      <c r="M41" s="304"/>
      <c r="N41" s="304"/>
      <c r="O41" s="304"/>
      <c r="P41" s="304"/>
      <c r="Q41" s="39" t="s">
        <v>13</v>
      </c>
    </row>
    <row r="42" spans="3:17" ht="41.45" customHeight="1" thickBot="1">
      <c r="C42" s="297" t="s">
        <v>50</v>
      </c>
      <c r="D42" s="298"/>
      <c r="E42" s="298"/>
      <c r="F42" s="298"/>
      <c r="G42" s="298"/>
      <c r="H42" s="298"/>
      <c r="I42" s="298"/>
      <c r="J42" s="298"/>
      <c r="K42" s="18">
        <v>1440</v>
      </c>
      <c r="L42" s="281">
        <f>+L39-L40-L41</f>
        <v>-14903966.155304253</v>
      </c>
      <c r="M42" s="281"/>
      <c r="N42" s="281"/>
      <c r="O42" s="281"/>
      <c r="P42" s="281"/>
      <c r="Q42" s="23" t="s">
        <v>1</v>
      </c>
    </row>
    <row r="43" spans="3:17" ht="27" customHeight="1" thickBot="1">
      <c r="C43" s="306" t="s">
        <v>5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8"/>
    </row>
    <row r="44" spans="3:17" ht="27" customHeight="1">
      <c r="C44" s="282" t="s">
        <v>6</v>
      </c>
      <c r="D44" s="283"/>
      <c r="E44" s="283"/>
      <c r="F44" s="283"/>
      <c r="G44" s="283"/>
      <c r="H44" s="283"/>
      <c r="I44" s="283"/>
      <c r="J44" s="284"/>
      <c r="K44" s="117">
        <v>1434</v>
      </c>
      <c r="L44" s="269"/>
      <c r="M44" s="269"/>
      <c r="N44" s="269"/>
      <c r="O44" s="269"/>
      <c r="P44" s="269"/>
      <c r="Q44" s="8" t="s">
        <v>0</v>
      </c>
    </row>
    <row r="45" spans="3:17" ht="40.700000000000003" customHeight="1" thickBot="1">
      <c r="C45" s="273" t="s">
        <v>7</v>
      </c>
      <c r="D45" s="274"/>
      <c r="E45" s="274"/>
      <c r="F45" s="274"/>
      <c r="G45" s="274"/>
      <c r="H45" s="274"/>
      <c r="I45" s="274"/>
      <c r="J45" s="274"/>
      <c r="K45" s="22">
        <v>1435</v>
      </c>
      <c r="L45" s="276"/>
      <c r="M45" s="276"/>
      <c r="N45" s="276"/>
      <c r="O45" s="276"/>
      <c r="P45" s="276"/>
      <c r="Q45" s="37" t="s">
        <v>0</v>
      </c>
    </row>
    <row r="46" spans="3:17" ht="27" customHeight="1" thickBot="1">
      <c r="C46" s="297" t="s">
        <v>8</v>
      </c>
      <c r="D46" s="298"/>
      <c r="E46" s="298"/>
      <c r="F46" s="298"/>
      <c r="G46" s="298"/>
      <c r="H46" s="298"/>
      <c r="I46" s="298"/>
      <c r="J46" s="299"/>
      <c r="K46" s="18">
        <v>1450</v>
      </c>
      <c r="L46" s="281">
        <f>+L42</f>
        <v>-14903966.155304253</v>
      </c>
      <c r="M46" s="281"/>
      <c r="N46" s="281"/>
      <c r="O46" s="281"/>
      <c r="P46" s="281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topLeftCell="A7" zoomScaleNormal="100" workbookViewId="0">
      <selection activeCell="C17" sqref="C17:P17"/>
    </sheetView>
  </sheetViews>
  <sheetFormatPr baseColWidth="10" defaultColWidth="11.5703125" defaultRowHeight="15"/>
  <cols>
    <col min="1" max="1" width="1.85546875" style="7" customWidth="1"/>
    <col min="2" max="2" width="4.5703125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218" customWidth="1"/>
    <col min="18" max="18" width="6" style="7" customWidth="1"/>
    <col min="19" max="19" width="9.140625" style="19" customWidth="1"/>
    <col min="20" max="20" width="7" style="7" customWidth="1"/>
    <col min="21" max="21" width="24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4.5703125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6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4.5703125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6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4.5703125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6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4.5703125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6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4.5703125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6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4.5703125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6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4.5703125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6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4.5703125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6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4.5703125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6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4.5703125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6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4.5703125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6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4.5703125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6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4.5703125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6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4.5703125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6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4.5703125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6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4.5703125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6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4.5703125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6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4.5703125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6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4.5703125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6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4.5703125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6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4.5703125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6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4.5703125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6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4.5703125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6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4.5703125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6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4.5703125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6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4.5703125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6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4.5703125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6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4.5703125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6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4.5703125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6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4.5703125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6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4.5703125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6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4.5703125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6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4.5703125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6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4.5703125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6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4.5703125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6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4.5703125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6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4.5703125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6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4.5703125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6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4.5703125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6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4.5703125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6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4.5703125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6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4.5703125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6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4.5703125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6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4.5703125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6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4.5703125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6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4.5703125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6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4.5703125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6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4.5703125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6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4.5703125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6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4.5703125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6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4.5703125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6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4.5703125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6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4.5703125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6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4.5703125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6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4.5703125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6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4.5703125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6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4.5703125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6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4.5703125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6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4.5703125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6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4.5703125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6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4.5703125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6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4.5703125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6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4.5703125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6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3" ht="15.75" thickBot="1"/>
    <row r="2" spans="3:23">
      <c r="C2" s="257" t="s">
        <v>218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10"/>
    </row>
    <row r="3" spans="3:23" ht="28.7" customHeight="1" thickBot="1">
      <c r="C3" s="311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3:23" ht="27" customHeight="1">
      <c r="C4" s="219" t="s">
        <v>219</v>
      </c>
      <c r="D4" s="220"/>
      <c r="E4" s="220"/>
      <c r="F4" s="220"/>
      <c r="G4" s="220"/>
      <c r="H4" s="220"/>
      <c r="I4" s="220"/>
      <c r="J4" s="220"/>
      <c r="K4" s="117">
        <v>1445</v>
      </c>
      <c r="L4" s="269">
        <f>+'ANTECEDENTES  '!E8</f>
        <v>14745000</v>
      </c>
      <c r="M4" s="269"/>
      <c r="N4" s="269"/>
      <c r="O4" s="269"/>
      <c r="P4" s="269"/>
      <c r="Q4" s="221" t="s">
        <v>0</v>
      </c>
      <c r="S4" s="19" t="s">
        <v>220</v>
      </c>
      <c r="V4" s="19"/>
      <c r="W4" s="19"/>
    </row>
    <row r="5" spans="3:23" ht="27" customHeight="1">
      <c r="C5" s="222" t="s">
        <v>221</v>
      </c>
      <c r="D5" s="223"/>
      <c r="E5" s="223"/>
      <c r="F5" s="223"/>
      <c r="G5" s="223"/>
      <c r="H5" s="223"/>
      <c r="I5" s="223"/>
      <c r="J5" s="223"/>
      <c r="K5" s="14">
        <v>1446</v>
      </c>
      <c r="L5" s="304"/>
      <c r="M5" s="304"/>
      <c r="N5" s="304"/>
      <c r="O5" s="304"/>
      <c r="P5" s="304"/>
      <c r="Q5" s="224" t="s">
        <v>13</v>
      </c>
      <c r="S5" s="19" t="s">
        <v>220</v>
      </c>
      <c r="V5" s="19"/>
    </row>
    <row r="6" spans="3:23" ht="27" customHeight="1">
      <c r="C6" s="222" t="s">
        <v>222</v>
      </c>
      <c r="D6" s="223"/>
      <c r="E6" s="223"/>
      <c r="F6" s="223"/>
      <c r="G6" s="223"/>
      <c r="H6" s="223"/>
      <c r="I6" s="223"/>
      <c r="J6" s="223"/>
      <c r="K6" s="14">
        <v>1374</v>
      </c>
      <c r="L6" s="304"/>
      <c r="M6" s="304"/>
      <c r="N6" s="304"/>
      <c r="O6" s="304"/>
      <c r="P6" s="304"/>
      <c r="Q6" s="225" t="s">
        <v>0</v>
      </c>
      <c r="S6" s="19" t="s">
        <v>223</v>
      </c>
    </row>
    <row r="7" spans="3:23" ht="27" customHeight="1">
      <c r="C7" s="226" t="s">
        <v>224</v>
      </c>
      <c r="D7" s="227"/>
      <c r="E7" s="227"/>
      <c r="F7" s="227"/>
      <c r="G7" s="227"/>
      <c r="H7" s="227"/>
      <c r="I7" s="227"/>
      <c r="J7" s="227"/>
      <c r="K7" s="228">
        <v>1375</v>
      </c>
      <c r="L7" s="314"/>
      <c r="M7" s="314"/>
      <c r="N7" s="314"/>
      <c r="O7" s="314"/>
      <c r="P7" s="314"/>
      <c r="Q7" s="229" t="s">
        <v>0</v>
      </c>
    </row>
    <row r="8" spans="3:23" ht="27" customHeight="1">
      <c r="C8" s="315" t="s">
        <v>225</v>
      </c>
      <c r="D8" s="316"/>
      <c r="E8" s="316"/>
      <c r="F8" s="316"/>
      <c r="G8" s="316"/>
      <c r="H8" s="316"/>
      <c r="I8" s="316"/>
      <c r="J8" s="317"/>
      <c r="K8" s="14">
        <v>1376</v>
      </c>
      <c r="L8" s="318"/>
      <c r="M8" s="318"/>
      <c r="N8" s="318"/>
      <c r="O8" s="318"/>
      <c r="P8" s="318"/>
      <c r="Q8" s="230" t="s">
        <v>13</v>
      </c>
    </row>
    <row r="9" spans="3:23" ht="27" customHeight="1">
      <c r="C9" s="319" t="s">
        <v>226</v>
      </c>
      <c r="D9" s="320"/>
      <c r="E9" s="320"/>
      <c r="F9" s="320"/>
      <c r="G9" s="320"/>
      <c r="H9" s="320"/>
      <c r="I9" s="320"/>
      <c r="J9" s="321"/>
      <c r="K9" s="228">
        <v>1705</v>
      </c>
      <c r="L9" s="314"/>
      <c r="M9" s="314"/>
      <c r="N9" s="314"/>
      <c r="O9" s="314"/>
      <c r="P9" s="314"/>
      <c r="Q9" s="229" t="s">
        <v>0</v>
      </c>
      <c r="S9" s="19" t="s">
        <v>227</v>
      </c>
      <c r="U9" s="7" t="s">
        <v>228</v>
      </c>
    </row>
    <row r="10" spans="3:23" ht="27" customHeight="1">
      <c r="C10" s="315" t="s">
        <v>8</v>
      </c>
      <c r="D10" s="316"/>
      <c r="E10" s="316"/>
      <c r="F10" s="316"/>
      <c r="G10" s="316"/>
      <c r="H10" s="316"/>
      <c r="I10" s="316"/>
      <c r="J10" s="317"/>
      <c r="K10" s="14">
        <v>1706</v>
      </c>
      <c r="L10" s="318">
        <f>-'BASE IMPONIBLE AT 2021'!G64</f>
        <v>14903966.155304253</v>
      </c>
      <c r="M10" s="318"/>
      <c r="N10" s="318"/>
      <c r="O10" s="318"/>
      <c r="P10" s="318"/>
      <c r="Q10" s="230" t="s">
        <v>13</v>
      </c>
      <c r="S10" s="19" t="s">
        <v>229</v>
      </c>
    </row>
    <row r="11" spans="3:23" ht="27" customHeight="1">
      <c r="C11" s="222" t="s">
        <v>45</v>
      </c>
      <c r="D11" s="223"/>
      <c r="E11" s="223"/>
      <c r="F11" s="223"/>
      <c r="G11" s="223"/>
      <c r="H11" s="223"/>
      <c r="I11" s="223"/>
      <c r="J11" s="223"/>
      <c r="K11" s="14">
        <v>1707</v>
      </c>
      <c r="L11" s="304">
        <f>+'BASE IMPONIBLE AT 2021'!G32</f>
        <v>3752309</v>
      </c>
      <c r="M11" s="304"/>
      <c r="N11" s="304"/>
      <c r="O11" s="304"/>
      <c r="P11" s="304"/>
      <c r="Q11" s="225" t="s">
        <v>0</v>
      </c>
      <c r="S11" s="19" t="s">
        <v>230</v>
      </c>
    </row>
    <row r="12" spans="3:23" ht="27" customHeight="1">
      <c r="C12" s="271" t="s">
        <v>231</v>
      </c>
      <c r="D12" s="272"/>
      <c r="E12" s="272"/>
      <c r="F12" s="272"/>
      <c r="G12" s="272"/>
      <c r="H12" s="272"/>
      <c r="I12" s="272"/>
      <c r="J12" s="272"/>
      <c r="K12" s="9">
        <v>1377</v>
      </c>
      <c r="L12" s="255"/>
      <c r="M12" s="255"/>
      <c r="N12" s="255"/>
      <c r="O12" s="255"/>
      <c r="P12" s="255"/>
      <c r="Q12" s="231" t="s">
        <v>0</v>
      </c>
    </row>
    <row r="13" spans="3:23" ht="27" customHeight="1">
      <c r="C13" s="286" t="s">
        <v>232</v>
      </c>
      <c r="D13" s="322"/>
      <c r="E13" s="322"/>
      <c r="F13" s="322"/>
      <c r="G13" s="322"/>
      <c r="H13" s="322"/>
      <c r="I13" s="322"/>
      <c r="J13" s="323"/>
      <c r="K13" s="9">
        <v>1378</v>
      </c>
      <c r="L13" s="255"/>
      <c r="M13" s="255"/>
      <c r="N13" s="255"/>
      <c r="O13" s="255"/>
      <c r="P13" s="255"/>
      <c r="Q13" s="232" t="s">
        <v>13</v>
      </c>
    </row>
    <row r="14" spans="3:23" ht="27" customHeight="1">
      <c r="C14" s="286" t="s">
        <v>233</v>
      </c>
      <c r="D14" s="322"/>
      <c r="E14" s="322"/>
      <c r="F14" s="322"/>
      <c r="G14" s="322"/>
      <c r="H14" s="322"/>
      <c r="I14" s="322"/>
      <c r="J14" s="323"/>
      <c r="K14" s="9">
        <v>1726</v>
      </c>
      <c r="L14" s="255"/>
      <c r="M14" s="255"/>
      <c r="N14" s="255"/>
      <c r="O14" s="255"/>
      <c r="P14" s="255"/>
      <c r="Q14" s="231" t="s">
        <v>0</v>
      </c>
    </row>
    <row r="15" spans="3:23" ht="27" customHeight="1">
      <c r="C15" s="271" t="s">
        <v>234</v>
      </c>
      <c r="D15" s="272"/>
      <c r="E15" s="272"/>
      <c r="F15" s="272"/>
      <c r="G15" s="272"/>
      <c r="H15" s="272"/>
      <c r="I15" s="272"/>
      <c r="J15" s="272"/>
      <c r="K15" s="9">
        <v>1591</v>
      </c>
      <c r="L15" s="255"/>
      <c r="M15" s="255"/>
      <c r="N15" s="255"/>
      <c r="O15" s="255"/>
      <c r="P15" s="255"/>
      <c r="Q15" s="232" t="s">
        <v>13</v>
      </c>
    </row>
    <row r="16" spans="3:23" ht="27" customHeight="1">
      <c r="C16" s="271" t="s">
        <v>235</v>
      </c>
      <c r="D16" s="272"/>
      <c r="E16" s="272"/>
      <c r="F16" s="272"/>
      <c r="G16" s="272"/>
      <c r="H16" s="272"/>
      <c r="I16" s="272"/>
      <c r="J16" s="285"/>
      <c r="K16" s="9">
        <v>1479</v>
      </c>
      <c r="L16" s="314"/>
      <c r="M16" s="314"/>
      <c r="N16" s="314"/>
      <c r="O16" s="314"/>
      <c r="P16" s="314"/>
      <c r="Q16" s="232" t="s">
        <v>13</v>
      </c>
    </row>
    <row r="17" spans="3:21" ht="27" customHeight="1">
      <c r="C17" s="271" t="s">
        <v>236</v>
      </c>
      <c r="D17" s="272"/>
      <c r="E17" s="272"/>
      <c r="F17" s="272"/>
      <c r="G17" s="272"/>
      <c r="H17" s="272"/>
      <c r="I17" s="272"/>
      <c r="J17" s="272"/>
      <c r="K17" s="9">
        <v>1708</v>
      </c>
      <c r="L17" s="255">
        <f>+'R17 AT 2O21'!L38:P38</f>
        <v>34646</v>
      </c>
      <c r="M17" s="255"/>
      <c r="N17" s="255"/>
      <c r="O17" s="255"/>
      <c r="P17" s="255"/>
      <c r="Q17" s="232" t="s">
        <v>13</v>
      </c>
    </row>
    <row r="18" spans="3:21" ht="27" customHeight="1">
      <c r="C18" s="271" t="s">
        <v>237</v>
      </c>
      <c r="D18" s="272"/>
      <c r="E18" s="272"/>
      <c r="F18" s="272"/>
      <c r="G18" s="272"/>
      <c r="H18" s="272"/>
      <c r="I18" s="272"/>
      <c r="J18" s="272"/>
      <c r="K18" s="9">
        <v>1709</v>
      </c>
      <c r="L18" s="255"/>
      <c r="M18" s="255"/>
      <c r="N18" s="255"/>
      <c r="O18" s="255"/>
      <c r="P18" s="255"/>
      <c r="Q18" s="232" t="s">
        <v>13</v>
      </c>
    </row>
    <row r="19" spans="3:21" ht="27" customHeight="1">
      <c r="C19" s="286" t="s">
        <v>238</v>
      </c>
      <c r="D19" s="322"/>
      <c r="E19" s="322"/>
      <c r="F19" s="322"/>
      <c r="G19" s="322"/>
      <c r="H19" s="322"/>
      <c r="I19" s="322"/>
      <c r="J19" s="323"/>
      <c r="K19" s="9">
        <v>1379</v>
      </c>
      <c r="L19" s="255"/>
      <c r="M19" s="255"/>
      <c r="N19" s="255"/>
      <c r="O19" s="255"/>
      <c r="P19" s="255"/>
      <c r="Q19" s="232" t="s">
        <v>13</v>
      </c>
    </row>
    <row r="20" spans="3:21" ht="27" customHeight="1">
      <c r="C20" s="233" t="s">
        <v>9</v>
      </c>
      <c r="D20" s="17"/>
      <c r="E20" s="17"/>
      <c r="F20" s="17"/>
      <c r="G20" s="17"/>
      <c r="H20" s="17"/>
      <c r="I20" s="17"/>
      <c r="J20" s="17"/>
      <c r="K20" s="9">
        <v>1710</v>
      </c>
      <c r="L20" s="255"/>
      <c r="M20" s="255"/>
      <c r="N20" s="255"/>
      <c r="O20" s="255"/>
      <c r="P20" s="255"/>
      <c r="Q20" s="231" t="s">
        <v>0</v>
      </c>
    </row>
    <row r="21" spans="3:21" ht="27" customHeight="1">
      <c r="C21" s="286" t="s">
        <v>239</v>
      </c>
      <c r="D21" s="322"/>
      <c r="E21" s="322"/>
      <c r="F21" s="322"/>
      <c r="G21" s="322"/>
      <c r="H21" s="322"/>
      <c r="I21" s="322"/>
      <c r="J21" s="323"/>
      <c r="K21" s="9">
        <v>1711</v>
      </c>
      <c r="L21" s="255"/>
      <c r="M21" s="255"/>
      <c r="N21" s="255"/>
      <c r="O21" s="255"/>
      <c r="P21" s="255"/>
      <c r="Q21" s="231" t="s">
        <v>0</v>
      </c>
    </row>
    <row r="22" spans="3:21" ht="27" customHeight="1">
      <c r="C22" s="36" t="s">
        <v>240</v>
      </c>
      <c r="D22" s="17"/>
      <c r="E22" s="17"/>
      <c r="F22" s="17"/>
      <c r="G22" s="17"/>
      <c r="H22" s="17"/>
      <c r="I22" s="17"/>
      <c r="J22" s="17"/>
      <c r="K22" s="9">
        <v>1380</v>
      </c>
      <c r="L22" s="255"/>
      <c r="M22" s="255"/>
      <c r="N22" s="255"/>
      <c r="O22" s="255"/>
      <c r="P22" s="255"/>
      <c r="Q22" s="231" t="s">
        <v>0</v>
      </c>
    </row>
    <row r="23" spans="3:21" ht="27" customHeight="1" thickBot="1">
      <c r="C23" s="234" t="s">
        <v>241</v>
      </c>
      <c r="D23" s="235"/>
      <c r="E23" s="235"/>
      <c r="F23" s="235"/>
      <c r="G23" s="235"/>
      <c r="H23" s="235"/>
      <c r="I23" s="235"/>
      <c r="J23" s="235"/>
      <c r="K23" s="22">
        <v>1381</v>
      </c>
      <c r="L23" s="276"/>
      <c r="M23" s="276"/>
      <c r="N23" s="276"/>
      <c r="O23" s="276"/>
      <c r="P23" s="276"/>
      <c r="Q23" s="236" t="s">
        <v>13</v>
      </c>
    </row>
    <row r="24" spans="3:21" ht="27" customHeight="1" thickBot="1">
      <c r="C24" s="324" t="s">
        <v>242</v>
      </c>
      <c r="D24" s="325"/>
      <c r="E24" s="325"/>
      <c r="F24" s="325"/>
      <c r="G24" s="325"/>
      <c r="H24" s="325"/>
      <c r="I24" s="325"/>
      <c r="J24" s="326"/>
      <c r="K24" s="18">
        <v>1545</v>
      </c>
      <c r="L24" s="281">
        <f>+L4-L5+L6+L7-L8+L9-L10+L11+L12-L13+L14-L15-L16-L17-L18-L19+L20+L21+L22-L23</f>
        <v>3558696.8446957469</v>
      </c>
      <c r="M24" s="281"/>
      <c r="N24" s="281"/>
      <c r="O24" s="281"/>
      <c r="P24" s="281"/>
      <c r="Q24" s="237" t="s">
        <v>1</v>
      </c>
      <c r="U24" s="238">
        <f>+L24</f>
        <v>3558696.8446957469</v>
      </c>
    </row>
    <row r="25" spans="3:21" ht="27" customHeight="1" thickBot="1">
      <c r="C25" s="324" t="s">
        <v>243</v>
      </c>
      <c r="D25" s="325"/>
      <c r="E25" s="325"/>
      <c r="F25" s="325"/>
      <c r="G25" s="325"/>
      <c r="H25" s="325"/>
      <c r="I25" s="325"/>
      <c r="J25" s="326"/>
      <c r="K25" s="18">
        <v>1546</v>
      </c>
      <c r="L25" s="281"/>
      <c r="M25" s="281"/>
      <c r="N25" s="281"/>
      <c r="O25" s="281"/>
      <c r="P25" s="281"/>
      <c r="Q25" s="237" t="s">
        <v>1</v>
      </c>
      <c r="U25" s="238">
        <f>+L4-L10+L11-L17</f>
        <v>3558696.8446957469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7"/>
  <sheetViews>
    <sheetView topLeftCell="A13" workbookViewId="0">
      <selection activeCell="A42" sqref="A42:B42"/>
    </sheetView>
  </sheetViews>
  <sheetFormatPr baseColWidth="10" defaultRowHeight="15"/>
  <cols>
    <col min="2" max="2" width="40.42578125" bestFit="1" customWidth="1"/>
    <col min="3" max="4" width="12.7109375" bestFit="1" customWidth="1"/>
  </cols>
  <sheetData>
    <row r="1" spans="1:11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1">
      <c r="A2" s="327" t="s">
        <v>187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1">
      <c r="A3" s="327" t="s">
        <v>102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1">
      <c r="A4" s="243"/>
      <c r="B4" s="243"/>
      <c r="C4" s="243"/>
      <c r="D4" s="243"/>
      <c r="E4" s="243" t="s">
        <v>103</v>
      </c>
      <c r="F4" s="243"/>
      <c r="G4" s="243" t="s">
        <v>104</v>
      </c>
      <c r="H4" s="243"/>
      <c r="I4" s="243" t="s">
        <v>105</v>
      </c>
      <c r="J4" s="243"/>
    </row>
    <row r="5" spans="1:11">
      <c r="A5" s="243" t="s">
        <v>106</v>
      </c>
      <c r="B5" s="243" t="s">
        <v>107</v>
      </c>
      <c r="C5" s="243" t="s">
        <v>108</v>
      </c>
      <c r="D5" s="243" t="s">
        <v>109</v>
      </c>
      <c r="E5" s="243" t="s">
        <v>110</v>
      </c>
      <c r="F5" s="243" t="s">
        <v>111</v>
      </c>
      <c r="G5" s="243" t="s">
        <v>112</v>
      </c>
      <c r="H5" s="243" t="s">
        <v>113</v>
      </c>
      <c r="I5" s="243" t="s">
        <v>114</v>
      </c>
      <c r="J5" s="243" t="s">
        <v>115</v>
      </c>
    </row>
    <row r="6" spans="1:11">
      <c r="A6" s="245">
        <v>101001</v>
      </c>
      <c r="B6" s="245" t="s">
        <v>116</v>
      </c>
      <c r="C6" s="246">
        <v>205666890</v>
      </c>
      <c r="D6" s="246">
        <f>205549815-1505</f>
        <v>205548310</v>
      </c>
      <c r="E6" s="246">
        <f>+C6-D6</f>
        <v>118580</v>
      </c>
      <c r="F6" s="245">
        <v>0</v>
      </c>
      <c r="G6" s="246">
        <f>+E6</f>
        <v>118580</v>
      </c>
      <c r="H6" s="245">
        <v>0</v>
      </c>
      <c r="I6" s="245">
        <v>0</v>
      </c>
      <c r="J6" s="245">
        <v>0</v>
      </c>
    </row>
    <row r="7" spans="1:11">
      <c r="A7" s="245">
        <v>103002</v>
      </c>
      <c r="B7" s="245" t="s">
        <v>146</v>
      </c>
      <c r="C7" s="246">
        <v>9477097</v>
      </c>
      <c r="D7" s="246">
        <v>9477097</v>
      </c>
      <c r="E7" s="245">
        <v>0</v>
      </c>
      <c r="F7" s="245">
        <v>0</v>
      </c>
      <c r="G7" s="245">
        <v>0</v>
      </c>
      <c r="H7" s="245">
        <v>0</v>
      </c>
      <c r="I7" s="245">
        <v>0</v>
      </c>
      <c r="J7" s="245">
        <v>0</v>
      </c>
    </row>
    <row r="8" spans="1:11">
      <c r="A8" s="245">
        <v>104001</v>
      </c>
      <c r="B8" s="245" t="s">
        <v>147</v>
      </c>
      <c r="C8" s="246">
        <v>219229432</v>
      </c>
      <c r="D8" s="246">
        <v>219229432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</row>
    <row r="9" spans="1:11">
      <c r="A9" s="245">
        <v>110005</v>
      </c>
      <c r="B9" s="245" t="s">
        <v>148</v>
      </c>
      <c r="C9" s="246">
        <v>1599193</v>
      </c>
      <c r="D9" s="245">
        <v>0</v>
      </c>
      <c r="E9" s="246">
        <v>1599193</v>
      </c>
      <c r="F9" s="245">
        <v>0</v>
      </c>
      <c r="G9" s="246">
        <v>1599193</v>
      </c>
      <c r="H9" s="245">
        <v>0</v>
      </c>
      <c r="I9" s="245">
        <v>0</v>
      </c>
      <c r="J9" s="245">
        <v>0</v>
      </c>
      <c r="K9" t="s">
        <v>211</v>
      </c>
    </row>
    <row r="10" spans="1:11">
      <c r="A10" s="245">
        <v>113001</v>
      </c>
      <c r="B10" s="245" t="s">
        <v>149</v>
      </c>
      <c r="C10" s="246">
        <v>3184899</v>
      </c>
      <c r="D10" s="246">
        <v>1700950</v>
      </c>
      <c r="E10" s="246">
        <v>1483949</v>
      </c>
      <c r="F10" s="245">
        <v>0</v>
      </c>
      <c r="G10" s="246">
        <v>1483949</v>
      </c>
      <c r="H10" s="245">
        <v>0</v>
      </c>
      <c r="I10" s="245">
        <v>0</v>
      </c>
      <c r="J10" s="245">
        <v>0</v>
      </c>
    </row>
    <row r="11" spans="1:11">
      <c r="A11" s="245">
        <v>113002</v>
      </c>
      <c r="B11" s="245" t="s">
        <v>117</v>
      </c>
      <c r="C11" s="246">
        <v>43423787</v>
      </c>
      <c r="D11" s="246">
        <v>43423787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</row>
    <row r="12" spans="1:11">
      <c r="A12" s="245">
        <v>113009</v>
      </c>
      <c r="B12" s="245" t="s">
        <v>150</v>
      </c>
      <c r="C12" s="246">
        <v>8603296</v>
      </c>
      <c r="D12" s="246">
        <v>8603296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</row>
    <row r="13" spans="1:11">
      <c r="A13" s="245">
        <v>113010</v>
      </c>
      <c r="B13" s="245" t="s">
        <v>139</v>
      </c>
      <c r="C13" s="246">
        <v>2221335</v>
      </c>
      <c r="D13" s="245">
        <v>0</v>
      </c>
      <c r="E13" s="246">
        <v>2221335</v>
      </c>
      <c r="F13" s="245">
        <v>0</v>
      </c>
      <c r="G13" s="246">
        <v>2221335</v>
      </c>
      <c r="H13" s="245">
        <v>0</v>
      </c>
      <c r="I13" s="245">
        <v>0</v>
      </c>
      <c r="J13" s="245">
        <v>0</v>
      </c>
    </row>
    <row r="14" spans="1:11">
      <c r="A14" s="245">
        <v>129004</v>
      </c>
      <c r="B14" s="245" t="s">
        <v>140</v>
      </c>
      <c r="C14" s="246">
        <v>12897482</v>
      </c>
      <c r="D14" s="245">
        <v>0</v>
      </c>
      <c r="E14" s="246">
        <v>12897482</v>
      </c>
      <c r="F14" s="245">
        <v>0</v>
      </c>
      <c r="G14" s="246">
        <v>12897482</v>
      </c>
      <c r="H14" s="245">
        <v>0</v>
      </c>
      <c r="I14" s="245">
        <v>0</v>
      </c>
      <c r="J14" s="245">
        <v>0</v>
      </c>
      <c r="K14" t="s">
        <v>212</v>
      </c>
    </row>
    <row r="15" spans="1:11">
      <c r="A15" s="245">
        <v>129008</v>
      </c>
      <c r="B15" s="245" t="s">
        <v>151</v>
      </c>
      <c r="C15" s="246">
        <v>45782814</v>
      </c>
      <c r="D15" s="245">
        <v>0</v>
      </c>
      <c r="E15" s="246">
        <v>45782814</v>
      </c>
      <c r="F15" s="245">
        <v>0</v>
      </c>
      <c r="G15" s="246">
        <v>45782814</v>
      </c>
      <c r="H15" s="245">
        <v>0</v>
      </c>
      <c r="I15" s="245">
        <v>0</v>
      </c>
      <c r="J15" s="245">
        <v>0</v>
      </c>
      <c r="K15" t="str">
        <f>+K14</f>
        <v>no hubo compra de activo inmovilzado 2021</v>
      </c>
    </row>
    <row r="16" spans="1:11">
      <c r="A16" s="245">
        <v>129009</v>
      </c>
      <c r="B16" s="245" t="s">
        <v>152</v>
      </c>
      <c r="C16" s="246">
        <v>17264440</v>
      </c>
      <c r="D16" s="245">
        <v>0</v>
      </c>
      <c r="E16" s="246">
        <v>17264440</v>
      </c>
      <c r="F16" s="245">
        <v>0</v>
      </c>
      <c r="G16" s="246">
        <v>17264440</v>
      </c>
      <c r="H16" s="245">
        <v>0</v>
      </c>
      <c r="I16" s="245">
        <v>0</v>
      </c>
      <c r="J16" s="245">
        <v>0</v>
      </c>
    </row>
    <row r="17" spans="1:12">
      <c r="A17" s="245">
        <v>129016</v>
      </c>
      <c r="B17" s="245" t="s">
        <v>141</v>
      </c>
      <c r="C17" s="245">
        <v>0</v>
      </c>
      <c r="D17" s="246">
        <v>18554848</v>
      </c>
      <c r="E17" s="245">
        <v>0</v>
      </c>
      <c r="F17" s="246">
        <v>18554848</v>
      </c>
      <c r="G17" s="245">
        <v>0</v>
      </c>
      <c r="H17" s="246">
        <v>18554848</v>
      </c>
      <c r="I17" s="245">
        <v>0</v>
      </c>
      <c r="J17" s="245">
        <v>0</v>
      </c>
    </row>
    <row r="18" spans="1:12">
      <c r="A18" s="245">
        <v>129017</v>
      </c>
      <c r="B18" s="245" t="s">
        <v>188</v>
      </c>
      <c r="C18" s="245">
        <v>0</v>
      </c>
      <c r="D18" s="246">
        <v>3174282</v>
      </c>
      <c r="E18" s="245"/>
      <c r="F18" s="246">
        <v>3174282</v>
      </c>
      <c r="G18" s="245"/>
      <c r="H18" s="246">
        <v>3174282</v>
      </c>
      <c r="I18" s="245">
        <v>0</v>
      </c>
      <c r="J18" s="245">
        <v>0</v>
      </c>
      <c r="L18" s="1"/>
    </row>
    <row r="19" spans="1:12">
      <c r="A19" s="245">
        <v>201004</v>
      </c>
      <c r="B19" s="245" t="s">
        <v>153</v>
      </c>
      <c r="C19" s="246">
        <v>4974165</v>
      </c>
      <c r="D19" s="246">
        <f>+C19</f>
        <v>4974165</v>
      </c>
      <c r="E19" s="246"/>
      <c r="F19" s="245">
        <v>0</v>
      </c>
      <c r="G19" s="246"/>
      <c r="H19" s="245">
        <v>0</v>
      </c>
      <c r="I19" s="245">
        <v>0</v>
      </c>
      <c r="J19" s="245">
        <v>0</v>
      </c>
      <c r="L19" s="1"/>
    </row>
    <row r="20" spans="1:12">
      <c r="A20" s="245">
        <v>202001</v>
      </c>
      <c r="B20" s="245" t="s">
        <v>136</v>
      </c>
      <c r="C20" s="246">
        <v>251882623</v>
      </c>
      <c r="D20" s="246">
        <v>306358419</v>
      </c>
      <c r="E20" s="245">
        <v>0</v>
      </c>
      <c r="F20" s="246">
        <v>54475796</v>
      </c>
      <c r="G20" s="245">
        <v>0</v>
      </c>
      <c r="H20" s="246">
        <v>54475796</v>
      </c>
      <c r="I20" s="245">
        <v>0</v>
      </c>
      <c r="J20" s="245">
        <v>0</v>
      </c>
      <c r="K20" t="s">
        <v>213</v>
      </c>
    </row>
    <row r="21" spans="1:12">
      <c r="A21" s="245">
        <v>202002</v>
      </c>
      <c r="B21" s="245" t="s">
        <v>154</v>
      </c>
      <c r="C21" s="246">
        <v>23360592</v>
      </c>
      <c r="D21" s="246">
        <v>25456701</v>
      </c>
      <c r="E21" s="245">
        <v>0</v>
      </c>
      <c r="F21" s="246">
        <v>2096109</v>
      </c>
      <c r="G21" s="245">
        <v>0</v>
      </c>
      <c r="H21" s="246">
        <v>2096109</v>
      </c>
      <c r="I21" s="245">
        <v>0</v>
      </c>
      <c r="J21" s="245">
        <v>0</v>
      </c>
      <c r="K21" t="s">
        <v>214</v>
      </c>
    </row>
    <row r="22" spans="1:12">
      <c r="A22" s="245">
        <v>202003</v>
      </c>
      <c r="B22" s="245" t="s">
        <v>155</v>
      </c>
      <c r="C22" s="245">
        <v>0</v>
      </c>
      <c r="D22" s="246">
        <v>1192286</v>
      </c>
      <c r="E22" s="245">
        <v>0</v>
      </c>
      <c r="F22" s="246">
        <v>1192286</v>
      </c>
      <c r="G22" s="245">
        <v>0</v>
      </c>
      <c r="H22" s="246">
        <v>1192286</v>
      </c>
      <c r="I22" s="245">
        <v>0</v>
      </c>
      <c r="J22" s="245">
        <v>0</v>
      </c>
      <c r="K22" t="s">
        <v>216</v>
      </c>
    </row>
    <row r="23" spans="1:12">
      <c r="A23" s="245">
        <v>202006</v>
      </c>
      <c r="B23" s="245" t="s">
        <v>156</v>
      </c>
      <c r="C23" s="246">
        <v>7343292</v>
      </c>
      <c r="D23" s="246">
        <v>8180994</v>
      </c>
      <c r="E23" s="245">
        <v>0</v>
      </c>
      <c r="F23" s="246">
        <v>837702</v>
      </c>
      <c r="G23" s="245">
        <v>0</v>
      </c>
      <c r="H23" s="246">
        <v>837702</v>
      </c>
      <c r="I23" s="245">
        <v>0</v>
      </c>
      <c r="J23" s="245">
        <v>0</v>
      </c>
      <c r="K23" t="s">
        <v>215</v>
      </c>
    </row>
    <row r="24" spans="1:12">
      <c r="A24" s="245">
        <v>202007</v>
      </c>
      <c r="B24" s="245" t="s">
        <v>157</v>
      </c>
      <c r="C24" s="245">
        <v>0</v>
      </c>
      <c r="D24" s="246">
        <v>325443</v>
      </c>
      <c r="E24" s="245">
        <v>0</v>
      </c>
      <c r="F24" s="246">
        <v>325443</v>
      </c>
      <c r="G24" s="245">
        <v>0</v>
      </c>
      <c r="H24" s="246">
        <v>325443</v>
      </c>
      <c r="I24" s="245">
        <v>0</v>
      </c>
      <c r="J24" s="245">
        <v>0</v>
      </c>
    </row>
    <row r="25" spans="1:12">
      <c r="A25" s="245">
        <v>203001</v>
      </c>
      <c r="B25" s="245" t="s">
        <v>158</v>
      </c>
      <c r="C25" s="245">
        <v>0</v>
      </c>
      <c r="D25" s="246">
        <v>14004000</v>
      </c>
      <c r="E25" s="245">
        <v>0</v>
      </c>
      <c r="F25" s="246">
        <v>14004000</v>
      </c>
      <c r="G25" s="245">
        <v>0</v>
      </c>
      <c r="H25" s="246">
        <v>14004000</v>
      </c>
      <c r="I25" s="245">
        <v>0</v>
      </c>
      <c r="J25" s="245">
        <v>0</v>
      </c>
    </row>
    <row r="26" spans="1:12">
      <c r="A26" s="245">
        <v>204027</v>
      </c>
      <c r="B26" s="245" t="s">
        <v>159</v>
      </c>
      <c r="C26" s="246">
        <v>288290</v>
      </c>
      <c r="D26" s="246">
        <v>307607</v>
      </c>
      <c r="E26" s="245">
        <v>0</v>
      </c>
      <c r="F26" s="246">
        <v>19317</v>
      </c>
      <c r="G26" s="245">
        <v>0</v>
      </c>
      <c r="H26" s="246">
        <v>19317</v>
      </c>
      <c r="I26" s="245">
        <v>0</v>
      </c>
      <c r="J26" s="245">
        <v>0</v>
      </c>
    </row>
    <row r="27" spans="1:12">
      <c r="A27" s="245">
        <v>205001</v>
      </c>
      <c r="B27" s="245" t="s">
        <v>160</v>
      </c>
      <c r="C27" s="246">
        <v>35003018</v>
      </c>
      <c r="D27" s="246">
        <v>35003018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</row>
    <row r="28" spans="1:12">
      <c r="A28" s="245">
        <v>205003</v>
      </c>
      <c r="B28" s="245" t="s">
        <v>161</v>
      </c>
      <c r="C28" s="246">
        <v>148628</v>
      </c>
      <c r="D28" s="246">
        <v>148628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  <c r="J28" s="245">
        <v>0</v>
      </c>
    </row>
    <row r="29" spans="1:12">
      <c r="A29" s="245">
        <v>220002</v>
      </c>
      <c r="B29" s="245" t="s">
        <v>162</v>
      </c>
      <c r="C29" s="245">
        <v>0</v>
      </c>
      <c r="D29" s="246">
        <v>5000000</v>
      </c>
      <c r="E29" s="245">
        <v>0</v>
      </c>
      <c r="F29" s="246">
        <v>5000000</v>
      </c>
      <c r="G29" s="245">
        <v>0</v>
      </c>
      <c r="H29" s="246">
        <v>5000000</v>
      </c>
      <c r="I29" s="245">
        <v>0</v>
      </c>
      <c r="J29" s="245">
        <v>0</v>
      </c>
    </row>
    <row r="30" spans="1:12">
      <c r="A30" s="245">
        <v>301001</v>
      </c>
      <c r="B30" s="245" t="s">
        <v>118</v>
      </c>
      <c r="C30" s="245">
        <v>0</v>
      </c>
      <c r="D30" s="246">
        <v>2000000</v>
      </c>
      <c r="E30" s="245">
        <v>0</v>
      </c>
      <c r="F30" s="246">
        <v>2000000</v>
      </c>
      <c r="G30" s="245">
        <v>0</v>
      </c>
      <c r="H30" s="246">
        <v>2000000</v>
      </c>
      <c r="I30" s="245">
        <v>0</v>
      </c>
      <c r="J30" s="245">
        <v>0</v>
      </c>
    </row>
    <row r="31" spans="1:12">
      <c r="A31" s="245">
        <v>302001</v>
      </c>
      <c r="B31" s="245" t="s">
        <v>163</v>
      </c>
      <c r="C31" s="246">
        <v>3652739</v>
      </c>
      <c r="D31" s="246">
        <v>3652739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</row>
    <row r="32" spans="1:12">
      <c r="A32" s="245">
        <v>302002</v>
      </c>
      <c r="B32" s="245" t="s">
        <v>137</v>
      </c>
      <c r="C32" s="246">
        <v>12924549</v>
      </c>
      <c r="D32" s="246">
        <v>12924549</v>
      </c>
      <c r="E32" s="245">
        <v>0</v>
      </c>
      <c r="F32" s="245">
        <v>0</v>
      </c>
      <c r="G32" s="245">
        <v>0</v>
      </c>
      <c r="H32" s="245">
        <v>0</v>
      </c>
      <c r="I32" s="245">
        <v>0</v>
      </c>
      <c r="J32" s="245">
        <v>0</v>
      </c>
    </row>
    <row r="33" spans="1:11">
      <c r="A33" s="245">
        <v>302003</v>
      </c>
      <c r="B33" s="245" t="s">
        <v>138</v>
      </c>
      <c r="C33" s="245">
        <v>0</v>
      </c>
      <c r="D33" s="246">
        <v>9271810</v>
      </c>
      <c r="E33" s="245">
        <v>0</v>
      </c>
      <c r="F33" s="246">
        <v>9271810</v>
      </c>
      <c r="G33" s="245">
        <v>0</v>
      </c>
      <c r="H33" s="246">
        <v>9271810</v>
      </c>
      <c r="I33" s="245">
        <v>0</v>
      </c>
      <c r="J33" s="245">
        <v>0</v>
      </c>
    </row>
    <row r="34" spans="1:11">
      <c r="A34" s="245">
        <v>501001</v>
      </c>
      <c r="B34" s="245" t="s">
        <v>164</v>
      </c>
      <c r="C34" s="246">
        <v>12354544</v>
      </c>
      <c r="D34" s="246">
        <v>184226414</v>
      </c>
      <c r="E34" s="245">
        <v>0</v>
      </c>
      <c r="F34" s="246">
        <v>171871870</v>
      </c>
      <c r="G34" s="245">
        <v>0</v>
      </c>
      <c r="H34" s="245">
        <v>0</v>
      </c>
      <c r="I34" s="245">
        <v>0</v>
      </c>
      <c r="J34" s="246">
        <v>171871870</v>
      </c>
      <c r="K34" t="s">
        <v>255</v>
      </c>
    </row>
    <row r="35" spans="1:11">
      <c r="A35" s="245">
        <v>502001</v>
      </c>
      <c r="B35" s="245" t="s">
        <v>210</v>
      </c>
      <c r="C35" s="245">
        <v>0</v>
      </c>
      <c r="D35" s="246">
        <v>1000000</v>
      </c>
      <c r="E35" s="245">
        <v>0</v>
      </c>
      <c r="F35" s="246">
        <v>1000000</v>
      </c>
      <c r="G35" s="245">
        <v>0</v>
      </c>
      <c r="H35" s="245">
        <v>0</v>
      </c>
      <c r="I35" s="245">
        <v>0</v>
      </c>
      <c r="J35" s="246">
        <v>1000000</v>
      </c>
    </row>
    <row r="36" spans="1:11">
      <c r="A36" s="245">
        <v>503002</v>
      </c>
      <c r="B36" s="245" t="s">
        <v>165</v>
      </c>
      <c r="C36" s="245">
        <v>0</v>
      </c>
      <c r="D36" s="246">
        <v>47717</v>
      </c>
      <c r="E36" s="245">
        <v>0</v>
      </c>
      <c r="F36" s="246">
        <v>47717</v>
      </c>
      <c r="G36" s="245">
        <v>0</v>
      </c>
      <c r="H36" s="245">
        <v>0</v>
      </c>
      <c r="I36" s="245">
        <v>0</v>
      </c>
      <c r="J36" s="246">
        <v>47717</v>
      </c>
    </row>
    <row r="37" spans="1:11">
      <c r="A37" s="245">
        <v>403005</v>
      </c>
      <c r="B37" s="245" t="s">
        <v>142</v>
      </c>
      <c r="C37" s="245">
        <v>0</v>
      </c>
      <c r="D37" s="246">
        <v>45247</v>
      </c>
      <c r="E37" s="245">
        <v>0</v>
      </c>
      <c r="F37" s="246">
        <v>45247</v>
      </c>
      <c r="G37" s="245">
        <v>0</v>
      </c>
      <c r="H37" s="245">
        <v>0</v>
      </c>
      <c r="I37" s="245">
        <v>0</v>
      </c>
      <c r="J37" s="246">
        <v>45247</v>
      </c>
    </row>
    <row r="38" spans="1:11">
      <c r="A38" s="245">
        <v>411001</v>
      </c>
      <c r="B38" s="245" t="s">
        <v>166</v>
      </c>
      <c r="C38" s="246">
        <v>38906225</v>
      </c>
      <c r="D38" s="246">
        <v>108336</v>
      </c>
      <c r="E38" s="246">
        <v>38797889</v>
      </c>
      <c r="F38" s="245">
        <v>0</v>
      </c>
      <c r="G38" s="245">
        <v>0</v>
      </c>
      <c r="H38" s="245">
        <v>0</v>
      </c>
      <c r="I38" s="246">
        <v>38797889</v>
      </c>
      <c r="J38" s="245">
        <v>0</v>
      </c>
    </row>
    <row r="39" spans="1:11">
      <c r="A39" s="245">
        <v>411004</v>
      </c>
      <c r="B39" s="245" t="s">
        <v>167</v>
      </c>
      <c r="C39" s="246">
        <v>42000</v>
      </c>
      <c r="D39" s="245">
        <v>0</v>
      </c>
      <c r="E39" s="246">
        <v>42000</v>
      </c>
      <c r="F39" s="245">
        <v>0</v>
      </c>
      <c r="G39" s="245">
        <v>0</v>
      </c>
      <c r="H39" s="245">
        <v>0</v>
      </c>
      <c r="I39" s="246">
        <v>42000</v>
      </c>
      <c r="J39" s="245">
        <v>0</v>
      </c>
    </row>
    <row r="40" spans="1:11">
      <c r="A40" s="245">
        <v>411007</v>
      </c>
      <c r="B40" s="245" t="s">
        <v>168</v>
      </c>
      <c r="C40" s="246">
        <v>2117594</v>
      </c>
      <c r="D40" s="245">
        <v>0</v>
      </c>
      <c r="E40" s="246">
        <v>2117594</v>
      </c>
      <c r="F40" s="245">
        <v>0</v>
      </c>
      <c r="G40" s="245">
        <v>0</v>
      </c>
      <c r="H40" s="245">
        <v>0</v>
      </c>
      <c r="I40" s="246">
        <v>2117594</v>
      </c>
      <c r="J40" s="245">
        <v>0</v>
      </c>
    </row>
    <row r="41" spans="1:11">
      <c r="A41" s="245">
        <v>411016</v>
      </c>
      <c r="B41" s="245" t="s">
        <v>169</v>
      </c>
      <c r="C41" s="246">
        <v>423042</v>
      </c>
      <c r="D41" s="245">
        <v>0</v>
      </c>
      <c r="E41" s="246">
        <v>423042</v>
      </c>
      <c r="F41" s="245">
        <v>0</v>
      </c>
      <c r="G41" s="245">
        <v>0</v>
      </c>
      <c r="H41" s="245">
        <v>0</v>
      </c>
      <c r="I41" s="246">
        <v>423042</v>
      </c>
      <c r="J41" s="245">
        <v>0</v>
      </c>
    </row>
    <row r="42" spans="1:11">
      <c r="A42" s="245">
        <v>412006</v>
      </c>
      <c r="B42" s="245" t="s">
        <v>61</v>
      </c>
      <c r="C42" s="246">
        <v>1340914</v>
      </c>
      <c r="D42" s="245">
        <v>0</v>
      </c>
      <c r="E42" s="246">
        <v>1340914</v>
      </c>
      <c r="F42" s="245">
        <v>0</v>
      </c>
      <c r="G42" s="245">
        <v>0</v>
      </c>
      <c r="H42" s="245">
        <v>0</v>
      </c>
      <c r="I42" s="246">
        <v>1340914</v>
      </c>
      <c r="J42" s="245">
        <v>0</v>
      </c>
    </row>
    <row r="43" spans="1:11">
      <c r="A43" s="245">
        <v>413002</v>
      </c>
      <c r="B43" s="245" t="s">
        <v>170</v>
      </c>
      <c r="C43" s="246">
        <v>417240</v>
      </c>
      <c r="D43" s="245">
        <v>0</v>
      </c>
      <c r="E43" s="246">
        <v>417240</v>
      </c>
      <c r="F43" s="245">
        <v>0</v>
      </c>
      <c r="G43" s="245">
        <v>0</v>
      </c>
      <c r="H43" s="245">
        <v>0</v>
      </c>
      <c r="I43" s="246">
        <v>417240</v>
      </c>
      <c r="J43" s="245">
        <v>0</v>
      </c>
    </row>
    <row r="44" spans="1:11">
      <c r="A44" s="245">
        <v>414001</v>
      </c>
      <c r="B44" s="245" t="s">
        <v>171</v>
      </c>
      <c r="C44" s="246">
        <v>1497110</v>
      </c>
      <c r="D44" s="245">
        <v>0</v>
      </c>
      <c r="E44" s="246">
        <v>1497110</v>
      </c>
      <c r="F44" s="245">
        <v>0</v>
      </c>
      <c r="G44" s="245">
        <v>0</v>
      </c>
      <c r="H44" s="245">
        <v>0</v>
      </c>
      <c r="I44" s="246">
        <v>1497110</v>
      </c>
      <c r="J44" s="245">
        <v>0</v>
      </c>
    </row>
    <row r="45" spans="1:11">
      <c r="A45" s="245">
        <v>414002</v>
      </c>
      <c r="B45" s="245" t="s">
        <v>172</v>
      </c>
      <c r="C45" s="246">
        <v>968855</v>
      </c>
      <c r="D45" s="245">
        <v>0</v>
      </c>
      <c r="E45" s="246">
        <v>968855</v>
      </c>
      <c r="F45" s="245">
        <v>0</v>
      </c>
      <c r="G45" s="245">
        <v>0</v>
      </c>
      <c r="H45" s="245">
        <v>0</v>
      </c>
      <c r="I45" s="246">
        <v>968855</v>
      </c>
      <c r="J45" s="245">
        <v>0</v>
      </c>
    </row>
    <row r="46" spans="1:11">
      <c r="A46" s="245">
        <v>414007</v>
      </c>
      <c r="B46" s="245" t="s">
        <v>173</v>
      </c>
      <c r="C46" s="246">
        <v>417980</v>
      </c>
      <c r="D46" s="245">
        <v>0</v>
      </c>
      <c r="E46" s="246">
        <v>417980</v>
      </c>
      <c r="F46" s="245">
        <v>0</v>
      </c>
      <c r="G46" s="245">
        <v>0</v>
      </c>
      <c r="H46" s="245">
        <v>0</v>
      </c>
      <c r="I46" s="246">
        <v>417980</v>
      </c>
      <c r="J46" s="245">
        <v>0</v>
      </c>
    </row>
    <row r="47" spans="1:11">
      <c r="A47" s="245">
        <v>414012</v>
      </c>
      <c r="B47" s="245" t="s">
        <v>174</v>
      </c>
      <c r="C47" s="246">
        <v>3830</v>
      </c>
      <c r="D47" s="245">
        <v>0</v>
      </c>
      <c r="E47" s="246">
        <v>3830</v>
      </c>
      <c r="F47" s="245">
        <v>0</v>
      </c>
      <c r="G47" s="245">
        <v>0</v>
      </c>
      <c r="H47" s="245">
        <v>0</v>
      </c>
      <c r="I47" s="246">
        <v>3830</v>
      </c>
      <c r="J47" s="245">
        <v>0</v>
      </c>
    </row>
    <row r="48" spans="1:11">
      <c r="A48" s="245">
        <v>415001</v>
      </c>
      <c r="B48" s="245" t="s">
        <v>175</v>
      </c>
      <c r="C48" s="246">
        <v>73559845</v>
      </c>
      <c r="D48" s="246">
        <v>9408913</v>
      </c>
      <c r="E48" s="246">
        <v>64150932</v>
      </c>
      <c r="F48" s="245">
        <v>0</v>
      </c>
      <c r="G48" s="245">
        <v>0</v>
      </c>
      <c r="H48" s="245">
        <v>0</v>
      </c>
      <c r="I48" s="246">
        <v>64150932</v>
      </c>
      <c r="J48" s="245">
        <v>0</v>
      </c>
    </row>
    <row r="49" spans="1:10">
      <c r="A49" s="245">
        <v>415005</v>
      </c>
      <c r="B49" s="245" t="s">
        <v>176</v>
      </c>
      <c r="C49" s="246">
        <v>9640199</v>
      </c>
      <c r="D49" s="246">
        <v>88236</v>
      </c>
      <c r="E49" s="246">
        <v>9551963</v>
      </c>
      <c r="F49" s="245">
        <v>0</v>
      </c>
      <c r="G49" s="245">
        <v>0</v>
      </c>
      <c r="H49" s="245">
        <v>0</v>
      </c>
      <c r="I49" s="246">
        <v>9551963</v>
      </c>
      <c r="J49" s="245">
        <v>0</v>
      </c>
    </row>
    <row r="50" spans="1:10">
      <c r="A50" s="245">
        <v>417002</v>
      </c>
      <c r="B50" s="245" t="s">
        <v>177</v>
      </c>
      <c r="C50" s="246">
        <v>210000</v>
      </c>
      <c r="D50" s="245">
        <v>0</v>
      </c>
      <c r="E50" s="246">
        <v>210000</v>
      </c>
      <c r="F50" s="245">
        <v>0</v>
      </c>
      <c r="G50" s="245">
        <v>0</v>
      </c>
      <c r="H50" s="245">
        <v>0</v>
      </c>
      <c r="I50" s="246">
        <v>210000</v>
      </c>
      <c r="J50" s="245">
        <v>0</v>
      </c>
    </row>
    <row r="51" spans="1:10">
      <c r="A51" s="245">
        <v>418005</v>
      </c>
      <c r="B51" s="245" t="s">
        <v>178</v>
      </c>
      <c r="C51" s="246">
        <v>28311293</v>
      </c>
      <c r="D51" s="246">
        <v>1783700</v>
      </c>
      <c r="E51" s="246">
        <v>26527593</v>
      </c>
      <c r="F51" s="245">
        <v>0</v>
      </c>
      <c r="G51" s="245">
        <v>0</v>
      </c>
      <c r="H51" s="245">
        <v>0</v>
      </c>
      <c r="I51" s="246">
        <v>26527593</v>
      </c>
      <c r="J51" s="245">
        <v>0</v>
      </c>
    </row>
    <row r="52" spans="1:10">
      <c r="A52" s="245">
        <v>419001</v>
      </c>
      <c r="B52" s="245" t="s">
        <v>179</v>
      </c>
      <c r="C52" s="246">
        <v>11592380</v>
      </c>
      <c r="D52" s="246">
        <v>101471</v>
      </c>
      <c r="E52" s="246">
        <v>11490909</v>
      </c>
      <c r="F52" s="245">
        <v>0</v>
      </c>
      <c r="G52" s="245">
        <v>0</v>
      </c>
      <c r="H52" s="245">
        <v>0</v>
      </c>
      <c r="I52" s="246">
        <v>11490909</v>
      </c>
      <c r="J52" s="245">
        <v>0</v>
      </c>
    </row>
    <row r="53" spans="1:10">
      <c r="A53" s="245">
        <v>419002</v>
      </c>
      <c r="B53" s="245" t="s">
        <v>180</v>
      </c>
      <c r="C53" s="246">
        <v>75525832</v>
      </c>
      <c r="D53" s="246">
        <v>57260215</v>
      </c>
      <c r="E53" s="246">
        <v>18265617</v>
      </c>
      <c r="F53" s="245">
        <v>0</v>
      </c>
      <c r="G53" s="245">
        <v>0</v>
      </c>
      <c r="H53" s="245">
        <v>0</v>
      </c>
      <c r="I53" s="246">
        <v>18265617</v>
      </c>
      <c r="J53" s="245">
        <v>0</v>
      </c>
    </row>
    <row r="54" spans="1:10">
      <c r="A54" s="245">
        <v>419003</v>
      </c>
      <c r="B54" s="245" t="s">
        <v>181</v>
      </c>
      <c r="C54" s="246">
        <v>1539939</v>
      </c>
      <c r="D54" s="245">
        <v>0</v>
      </c>
      <c r="E54" s="246">
        <v>1539939</v>
      </c>
      <c r="F54" s="245">
        <v>0</v>
      </c>
      <c r="G54" s="245">
        <v>0</v>
      </c>
      <c r="H54" s="245">
        <v>0</v>
      </c>
      <c r="I54" s="246">
        <v>1539939</v>
      </c>
      <c r="J54" s="245">
        <v>0</v>
      </c>
    </row>
    <row r="55" spans="1:10">
      <c r="A55" s="245">
        <v>419006</v>
      </c>
      <c r="B55" s="245" t="s">
        <v>182</v>
      </c>
      <c r="C55" s="246">
        <v>480386</v>
      </c>
      <c r="D55" s="245">
        <v>0</v>
      </c>
      <c r="E55" s="246">
        <v>480386</v>
      </c>
      <c r="F55" s="245">
        <v>0</v>
      </c>
      <c r="G55" s="245">
        <v>0</v>
      </c>
      <c r="H55" s="245">
        <v>0</v>
      </c>
      <c r="I55" s="246">
        <v>480386</v>
      </c>
      <c r="J55" s="245">
        <v>0</v>
      </c>
    </row>
    <row r="56" spans="1:10">
      <c r="A56" s="245">
        <v>420002</v>
      </c>
      <c r="B56" s="245" t="s">
        <v>183</v>
      </c>
      <c r="C56" s="246">
        <v>89932</v>
      </c>
      <c r="D56" s="246">
        <v>41572</v>
      </c>
      <c r="E56" s="246">
        <v>48360</v>
      </c>
      <c r="F56" s="245">
        <v>0</v>
      </c>
      <c r="G56" s="245">
        <v>0</v>
      </c>
      <c r="H56" s="245">
        <v>0</v>
      </c>
      <c r="I56" s="246">
        <v>48360</v>
      </c>
      <c r="J56" s="245">
        <v>0</v>
      </c>
    </row>
    <row r="57" spans="1:10">
      <c r="A57" s="245">
        <v>422003</v>
      </c>
      <c r="B57" s="245" t="s">
        <v>143</v>
      </c>
      <c r="C57" s="246">
        <f>11613671-C59</f>
        <v>11228919</v>
      </c>
      <c r="D57" s="246">
        <v>481373</v>
      </c>
      <c r="E57" s="246">
        <f>+C57-D57</f>
        <v>10747546</v>
      </c>
      <c r="F57" s="245">
        <v>0</v>
      </c>
      <c r="G57" s="245">
        <v>0</v>
      </c>
      <c r="H57" s="245">
        <v>0</v>
      </c>
      <c r="I57" s="246">
        <f>+E57</f>
        <v>10747546</v>
      </c>
      <c r="J57" s="245">
        <v>0</v>
      </c>
    </row>
    <row r="58" spans="1:10">
      <c r="A58" s="245">
        <v>424002</v>
      </c>
      <c r="B58" s="245" t="s">
        <v>184</v>
      </c>
      <c r="C58" s="246">
        <v>5519071</v>
      </c>
      <c r="D58" s="245">
        <v>0</v>
      </c>
      <c r="E58" s="246">
        <v>5519071</v>
      </c>
      <c r="F58" s="245">
        <v>0</v>
      </c>
      <c r="G58" s="245">
        <v>0</v>
      </c>
      <c r="H58" s="245">
        <v>0</v>
      </c>
      <c r="I58" s="246">
        <f>+E58</f>
        <v>5519071</v>
      </c>
      <c r="J58" s="245">
        <v>0</v>
      </c>
    </row>
    <row r="59" spans="1:10">
      <c r="A59" s="245">
        <v>424003</v>
      </c>
      <c r="B59" s="245" t="s">
        <v>209</v>
      </c>
      <c r="C59" s="246">
        <v>384752</v>
      </c>
      <c r="D59" s="245">
        <v>0</v>
      </c>
      <c r="E59" s="246">
        <f>+C59</f>
        <v>384752</v>
      </c>
      <c r="F59" s="245">
        <v>0</v>
      </c>
      <c r="G59" s="245">
        <v>0</v>
      </c>
      <c r="H59" s="245">
        <v>0</v>
      </c>
      <c r="I59" s="246">
        <f>+E59</f>
        <v>384752</v>
      </c>
      <c r="J59" s="245">
        <v>0</v>
      </c>
    </row>
    <row r="60" spans="1:10">
      <c r="A60" s="245">
        <v>425001</v>
      </c>
      <c r="B60" s="245" t="s">
        <v>144</v>
      </c>
      <c r="C60" s="246">
        <v>7099497</v>
      </c>
      <c r="D60" s="245">
        <v>0</v>
      </c>
      <c r="E60" s="246">
        <v>7099497</v>
      </c>
      <c r="F60" s="245">
        <v>0</v>
      </c>
      <c r="G60" s="245">
        <v>0</v>
      </c>
      <c r="H60" s="245">
        <v>0</v>
      </c>
      <c r="I60" s="246">
        <v>7099497</v>
      </c>
      <c r="J60" s="245">
        <v>0</v>
      </c>
    </row>
    <row r="61" spans="1:10">
      <c r="A61" s="245">
        <v>428004</v>
      </c>
      <c r="B61" s="245" t="s">
        <v>185</v>
      </c>
      <c r="C61" s="246">
        <v>505615</v>
      </c>
      <c r="D61" s="245">
        <v>0</v>
      </c>
      <c r="E61" s="246">
        <v>505615</v>
      </c>
      <c r="F61" s="245">
        <v>0</v>
      </c>
      <c r="G61" s="245">
        <v>0</v>
      </c>
      <c r="H61" s="245">
        <v>0</v>
      </c>
      <c r="I61" s="246">
        <v>505615</v>
      </c>
      <c r="J61" s="245">
        <v>0</v>
      </c>
    </row>
    <row r="62" spans="1:10">
      <c r="A62" s="245"/>
      <c r="B62" s="245" t="s">
        <v>119</v>
      </c>
      <c r="C62" s="246">
        <f>SUM(C6:C61)</f>
        <v>1193105555</v>
      </c>
      <c r="D62" s="246">
        <f t="shared" ref="D62:J62" si="0">SUM(D6:D61)</f>
        <v>1193105555</v>
      </c>
      <c r="E62" s="246">
        <f t="shared" si="0"/>
        <v>283916427</v>
      </c>
      <c r="F62" s="246">
        <f t="shared" si="0"/>
        <v>283916427</v>
      </c>
      <c r="G62" s="246">
        <f t="shared" si="0"/>
        <v>81367793</v>
      </c>
      <c r="H62" s="246">
        <f t="shared" si="0"/>
        <v>110951593</v>
      </c>
      <c r="I62" s="246">
        <f t="shared" si="0"/>
        <v>202548634</v>
      </c>
      <c r="J62" s="246">
        <f t="shared" si="0"/>
        <v>172964834</v>
      </c>
    </row>
    <row r="63" spans="1:10">
      <c r="A63" s="245"/>
      <c r="B63" s="245" t="s">
        <v>145</v>
      </c>
      <c r="C63" s="245"/>
      <c r="D63" s="245"/>
      <c r="E63" s="245"/>
      <c r="F63" s="245"/>
      <c r="G63" s="246">
        <f>+H62-G62</f>
        <v>29583800</v>
      </c>
      <c r="H63" s="245">
        <v>0</v>
      </c>
      <c r="I63" s="245">
        <v>0</v>
      </c>
      <c r="J63" s="246">
        <f>+I62-J62</f>
        <v>29583800</v>
      </c>
    </row>
    <row r="64" spans="1:10">
      <c r="A64" s="245"/>
      <c r="B64" s="245" t="s">
        <v>120</v>
      </c>
      <c r="C64" s="246">
        <f>+C62+C63</f>
        <v>1193105555</v>
      </c>
      <c r="D64" s="246">
        <f t="shared" ref="D64:J64" si="1">+D62+D63</f>
        <v>1193105555</v>
      </c>
      <c r="E64" s="246">
        <f t="shared" si="1"/>
        <v>283916427</v>
      </c>
      <c r="F64" s="246">
        <f t="shared" si="1"/>
        <v>283916427</v>
      </c>
      <c r="G64" s="246">
        <f t="shared" si="1"/>
        <v>110951593</v>
      </c>
      <c r="H64" s="246">
        <f t="shared" si="1"/>
        <v>110951593</v>
      </c>
      <c r="I64" s="246">
        <f t="shared" si="1"/>
        <v>202548634</v>
      </c>
      <c r="J64" s="246">
        <f t="shared" si="1"/>
        <v>202548634</v>
      </c>
    </row>
    <row r="65" spans="1:10">
      <c r="A65" s="243"/>
      <c r="B65" s="243"/>
      <c r="C65" s="243"/>
      <c r="D65" s="243"/>
      <c r="E65" s="243"/>
      <c r="F65" s="243"/>
      <c r="G65" s="243"/>
      <c r="H65" s="243"/>
      <c r="I65" s="243"/>
      <c r="J65" s="243"/>
    </row>
    <row r="66" spans="1:10">
      <c r="A66" s="243"/>
      <c r="B66" s="243"/>
      <c r="C66" s="243"/>
      <c r="D66" s="244">
        <f>+D64-C64</f>
        <v>0</v>
      </c>
      <c r="E66" s="243"/>
      <c r="F66" s="243"/>
      <c r="G66" s="243"/>
      <c r="H66" s="243"/>
      <c r="I66" s="243"/>
      <c r="J66" s="243"/>
    </row>
    <row r="67" spans="1:10">
      <c r="A67" s="243"/>
      <c r="B67" s="243"/>
      <c r="C67" s="243"/>
      <c r="D67" s="243"/>
      <c r="E67" s="243"/>
      <c r="F67" s="243"/>
      <c r="G67" s="243"/>
      <c r="H67" s="243"/>
      <c r="I67" s="243"/>
      <c r="J67" s="243"/>
    </row>
  </sheetData>
  <mergeCells count="2">
    <mergeCell ref="A2:J2"/>
    <mergeCell ref="A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87"/>
  <sheetViews>
    <sheetView showGridLines="0" topLeftCell="A28" zoomScale="96" zoomScaleNormal="96" workbookViewId="0">
      <selection activeCell="F50" sqref="F50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5.5703125" style="129" bestFit="1" customWidth="1"/>
    <col min="5" max="6" width="17.140625" style="87" customWidth="1"/>
    <col min="7" max="7" width="17.85546875" style="87" customWidth="1"/>
    <col min="8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7" ht="15.75" thickBot="1">
      <c r="A1" s="4"/>
    </row>
    <row r="2" spans="1:7" ht="22.5" customHeight="1">
      <c r="A2" s="6"/>
      <c r="B2" s="74" t="s">
        <v>95</v>
      </c>
      <c r="C2" s="75"/>
      <c r="D2" s="130" t="s">
        <v>54</v>
      </c>
      <c r="E2" s="76" t="s">
        <v>54</v>
      </c>
      <c r="F2" s="76" t="s">
        <v>54</v>
      </c>
      <c r="G2" s="77" t="s">
        <v>54</v>
      </c>
    </row>
    <row r="3" spans="1:7" ht="22.5" customHeight="1">
      <c r="A3" s="6"/>
      <c r="B3" s="78"/>
      <c r="C3" s="43"/>
      <c r="D3" s="131" t="s">
        <v>83</v>
      </c>
      <c r="E3" s="44" t="s">
        <v>91</v>
      </c>
      <c r="F3" s="44" t="s">
        <v>93</v>
      </c>
      <c r="G3" s="79" t="s">
        <v>55</v>
      </c>
    </row>
    <row r="4" spans="1:7" ht="22.5" customHeight="1" thickBot="1">
      <c r="A4" s="6"/>
      <c r="B4" s="78"/>
      <c r="C4" s="43"/>
      <c r="D4" s="131" t="s">
        <v>84</v>
      </c>
      <c r="E4" s="44" t="s">
        <v>90</v>
      </c>
      <c r="F4" s="44" t="s">
        <v>92</v>
      </c>
      <c r="G4" s="79"/>
    </row>
    <row r="5" spans="1:7">
      <c r="A5" s="6"/>
      <c r="B5" s="49" t="s">
        <v>56</v>
      </c>
      <c r="C5" s="117" t="s">
        <v>1</v>
      </c>
      <c r="D5" s="132">
        <f>SUM(D6:D8)</f>
        <v>154684683</v>
      </c>
      <c r="E5" s="117">
        <f>SUM(E6:E8)</f>
        <v>0</v>
      </c>
      <c r="F5" s="24">
        <f>SUM(F6:F8)</f>
        <v>0</v>
      </c>
      <c r="G5" s="125">
        <f>SUM(G6:G8)</f>
        <v>154684683</v>
      </c>
    </row>
    <row r="6" spans="1:7">
      <c r="A6" s="6"/>
      <c r="B6" s="50" t="s">
        <v>96</v>
      </c>
      <c r="C6" s="9" t="s">
        <v>0</v>
      </c>
      <c r="D6" s="133">
        <f>+'BALANCE AÑO 2021'!J34*90%</f>
        <v>154684683</v>
      </c>
      <c r="E6" s="29"/>
      <c r="F6" s="119"/>
      <c r="G6" s="126">
        <f>+D6-E6+F6</f>
        <v>154684683</v>
      </c>
    </row>
    <row r="7" spans="1:7">
      <c r="A7" s="6"/>
      <c r="B7" s="50" t="s">
        <v>97</v>
      </c>
      <c r="C7" s="9" t="s">
        <v>0</v>
      </c>
      <c r="D7" s="133"/>
      <c r="E7" s="29"/>
      <c r="F7" s="119"/>
      <c r="G7" s="126">
        <f t="shared" ref="G7:G13" si="0">+D7-E7+F7</f>
        <v>0</v>
      </c>
    </row>
    <row r="8" spans="1:7" ht="15.75" thickBot="1">
      <c r="A8" s="6"/>
      <c r="B8" s="51" t="s">
        <v>101</v>
      </c>
      <c r="C8" s="12" t="s">
        <v>0</v>
      </c>
      <c r="D8" s="134"/>
      <c r="E8" s="105"/>
      <c r="F8" s="120"/>
      <c r="G8" s="126">
        <f t="shared" si="0"/>
        <v>0</v>
      </c>
    </row>
    <row r="9" spans="1:7">
      <c r="A9" s="6"/>
      <c r="B9" s="80" t="s">
        <v>17</v>
      </c>
      <c r="C9" s="14" t="s">
        <v>0</v>
      </c>
      <c r="D9" s="135"/>
      <c r="E9" s="106"/>
      <c r="F9" s="121"/>
      <c r="G9" s="127"/>
    </row>
    <row r="10" spans="1:7">
      <c r="A10" s="6"/>
      <c r="B10" s="59" t="s">
        <v>18</v>
      </c>
      <c r="C10" s="9" t="s">
        <v>0</v>
      </c>
      <c r="D10" s="133"/>
      <c r="E10" s="107"/>
      <c r="F10" s="122"/>
      <c r="G10" s="126">
        <f t="shared" si="0"/>
        <v>0</v>
      </c>
    </row>
    <row r="11" spans="1:7" ht="15" customHeight="1" thickBot="1">
      <c r="A11" s="6"/>
      <c r="B11" s="60" t="s">
        <v>19</v>
      </c>
      <c r="C11" s="13" t="s">
        <v>0</v>
      </c>
      <c r="D11" s="133"/>
      <c r="E11" s="108"/>
      <c r="F11" s="119"/>
      <c r="G11" s="126">
        <f t="shared" si="0"/>
        <v>0</v>
      </c>
    </row>
    <row r="12" spans="1:7" ht="15" customHeight="1">
      <c r="A12" s="6"/>
      <c r="B12" s="52" t="s">
        <v>20</v>
      </c>
      <c r="C12" s="45" t="s">
        <v>1</v>
      </c>
      <c r="D12" s="132">
        <f>SUM(D13:D14)</f>
        <v>17187187</v>
      </c>
      <c r="E12" s="47">
        <f t="shared" ref="E12:G12" si="1">SUM(E13:E14)</f>
        <v>0</v>
      </c>
      <c r="F12" s="24">
        <f t="shared" si="1"/>
        <v>0</v>
      </c>
      <c r="G12" s="125">
        <f t="shared" si="1"/>
        <v>17187187</v>
      </c>
    </row>
    <row r="13" spans="1:7" ht="15" customHeight="1">
      <c r="A13" s="6"/>
      <c r="B13" s="50" t="s">
        <v>98</v>
      </c>
      <c r="C13" s="9" t="s">
        <v>0</v>
      </c>
      <c r="D13" s="133">
        <f>+'BALANCE AÑO 2021'!J34*10%</f>
        <v>17187187</v>
      </c>
      <c r="E13" s="29"/>
      <c r="F13" s="119"/>
      <c r="G13" s="126">
        <f t="shared" si="0"/>
        <v>17187187</v>
      </c>
    </row>
    <row r="14" spans="1:7" ht="15" customHeight="1" thickBot="1">
      <c r="A14" s="6"/>
      <c r="B14" s="51" t="s">
        <v>99</v>
      </c>
      <c r="C14" s="12" t="s">
        <v>0</v>
      </c>
      <c r="D14" s="134"/>
      <c r="E14" s="105"/>
      <c r="F14" s="120"/>
      <c r="G14" s="128"/>
    </row>
    <row r="15" spans="1:7">
      <c r="A15" s="6"/>
      <c r="B15" s="49" t="s">
        <v>2</v>
      </c>
      <c r="C15" s="53" t="s">
        <v>1</v>
      </c>
      <c r="D15" s="132">
        <f>SUM(D16:D26)</f>
        <v>1092964</v>
      </c>
      <c r="E15" s="47">
        <f t="shared" ref="E15:F15" si="2">SUM(E16:E26)</f>
        <v>0</v>
      </c>
      <c r="F15" s="24">
        <f t="shared" si="2"/>
        <v>0</v>
      </c>
      <c r="G15" s="125">
        <f>SUM(G16:G26)</f>
        <v>92964</v>
      </c>
    </row>
    <row r="16" spans="1:7">
      <c r="A16" s="6"/>
      <c r="B16" s="81" t="s">
        <v>57</v>
      </c>
      <c r="C16" s="9" t="s">
        <v>0</v>
      </c>
      <c r="D16" s="136"/>
      <c r="E16" s="14"/>
      <c r="F16" s="118"/>
      <c r="G16" s="126">
        <f t="shared" ref="G16:G26" si="3">+D16-E16+F16</f>
        <v>0</v>
      </c>
    </row>
    <row r="17" spans="1:8">
      <c r="A17" s="6"/>
      <c r="B17" s="81" t="s">
        <v>100</v>
      </c>
      <c r="C17" s="9" t="s">
        <v>0</v>
      </c>
      <c r="D17" s="136">
        <f>+'BALANCE AÑO 2021'!J37</f>
        <v>45247</v>
      </c>
      <c r="E17" s="14"/>
      <c r="F17" s="27"/>
      <c r="G17" s="126">
        <f t="shared" si="3"/>
        <v>45247</v>
      </c>
    </row>
    <row r="18" spans="1:8">
      <c r="A18" s="6"/>
      <c r="B18" s="54" t="s">
        <v>85</v>
      </c>
      <c r="C18" s="9" t="s">
        <v>0</v>
      </c>
      <c r="D18" s="136">
        <f>+'BALANCE AÑO 2021'!J35</f>
        <v>1000000</v>
      </c>
      <c r="E18" s="27"/>
      <c r="F18" s="27"/>
      <c r="G18" s="126"/>
    </row>
    <row r="19" spans="1:8">
      <c r="A19" s="6"/>
      <c r="B19" s="67" t="s">
        <v>58</v>
      </c>
      <c r="C19" s="9" t="s">
        <v>0</v>
      </c>
      <c r="D19" s="136">
        <f>+'BALANCE AÑO 2021'!J36</f>
        <v>47717</v>
      </c>
      <c r="E19" s="27"/>
      <c r="F19" s="27"/>
      <c r="G19" s="126">
        <f>+D19-E19+F19</f>
        <v>47717</v>
      </c>
    </row>
    <row r="20" spans="1:8" ht="15" customHeight="1">
      <c r="A20" s="6"/>
      <c r="B20" s="54" t="s">
        <v>72</v>
      </c>
      <c r="C20" s="9" t="s">
        <v>0</v>
      </c>
      <c r="D20" s="136"/>
      <c r="E20" s="27"/>
      <c r="F20" s="27"/>
      <c r="G20" s="126">
        <f t="shared" si="3"/>
        <v>0</v>
      </c>
    </row>
    <row r="21" spans="1:8" ht="15" customHeight="1">
      <c r="A21" s="6"/>
      <c r="B21" s="54" t="s">
        <v>73</v>
      </c>
      <c r="C21" s="9" t="s">
        <v>0</v>
      </c>
      <c r="D21" s="136"/>
      <c r="E21" s="27"/>
      <c r="F21" s="27"/>
      <c r="G21" s="126">
        <f t="shared" si="3"/>
        <v>0</v>
      </c>
    </row>
    <row r="22" spans="1:8" ht="15" customHeight="1">
      <c r="A22" s="6"/>
      <c r="B22" s="54" t="s">
        <v>74</v>
      </c>
      <c r="C22" s="9" t="s">
        <v>0</v>
      </c>
      <c r="D22" s="136"/>
      <c r="E22" s="27"/>
      <c r="F22" s="27"/>
      <c r="G22" s="126">
        <f t="shared" si="3"/>
        <v>0</v>
      </c>
    </row>
    <row r="23" spans="1:8" ht="15" customHeight="1">
      <c r="A23" s="6"/>
      <c r="B23" s="54" t="s">
        <v>59</v>
      </c>
      <c r="C23" s="9" t="s">
        <v>0</v>
      </c>
      <c r="D23" s="137"/>
      <c r="E23" s="58"/>
      <c r="F23" s="58"/>
      <c r="G23" s="126">
        <f t="shared" si="3"/>
        <v>0</v>
      </c>
    </row>
    <row r="24" spans="1:8" ht="15" customHeight="1">
      <c r="A24" s="6"/>
      <c r="B24" s="54" t="s">
        <v>76</v>
      </c>
      <c r="C24" s="9" t="s">
        <v>0</v>
      </c>
      <c r="D24" s="138"/>
      <c r="E24" s="28"/>
      <c r="F24" s="28"/>
      <c r="G24" s="126">
        <f t="shared" si="3"/>
        <v>0</v>
      </c>
    </row>
    <row r="25" spans="1:8" ht="15" customHeight="1">
      <c r="A25" s="6"/>
      <c r="B25" s="54" t="s">
        <v>77</v>
      </c>
      <c r="C25" s="9" t="s">
        <v>0</v>
      </c>
      <c r="D25" s="138"/>
      <c r="E25" s="28"/>
      <c r="F25" s="28"/>
      <c r="G25" s="126">
        <f t="shared" si="3"/>
        <v>0</v>
      </c>
    </row>
    <row r="26" spans="1:8" ht="15" customHeight="1" thickBot="1">
      <c r="A26" s="6"/>
      <c r="B26" s="55" t="s">
        <v>78</v>
      </c>
      <c r="C26" s="12" t="s">
        <v>0</v>
      </c>
      <c r="D26" s="139"/>
      <c r="E26" s="109"/>
      <c r="F26" s="123"/>
      <c r="G26" s="126">
        <f t="shared" si="3"/>
        <v>0</v>
      </c>
    </row>
    <row r="27" spans="1:8" ht="15" customHeight="1">
      <c r="A27" s="6"/>
      <c r="B27" s="61" t="s">
        <v>21</v>
      </c>
      <c r="C27" s="14" t="s">
        <v>0</v>
      </c>
      <c r="D27" s="135"/>
      <c r="E27" s="106"/>
      <c r="F27" s="121"/>
      <c r="G27" s="127"/>
    </row>
    <row r="28" spans="1:8" ht="15.75" customHeight="1" thickBot="1">
      <c r="A28" s="6"/>
      <c r="B28" s="62" t="s">
        <v>22</v>
      </c>
      <c r="C28" s="12" t="s">
        <v>0</v>
      </c>
      <c r="D28" s="140"/>
      <c r="E28" s="105"/>
      <c r="F28" s="124"/>
      <c r="G28" s="128"/>
    </row>
    <row r="29" spans="1:8" ht="15.75" thickBot="1">
      <c r="A29" s="6"/>
      <c r="B29" s="57" t="s">
        <v>23</v>
      </c>
      <c r="C29" s="18" t="s">
        <v>1</v>
      </c>
      <c r="D29" s="141">
        <f>+D5+D9+D10+D11+D12+D15+D27+D28</f>
        <v>172964834</v>
      </c>
      <c r="E29" s="99"/>
      <c r="F29" s="99"/>
      <c r="G29" s="70">
        <f>+G5+G9+G10+G11+G12+G15+G27+G28</f>
        <v>171964834</v>
      </c>
    </row>
    <row r="30" spans="1:8" ht="15" customHeight="1">
      <c r="A30" s="6"/>
      <c r="B30" s="52" t="s">
        <v>60</v>
      </c>
      <c r="C30" s="64" t="s">
        <v>13</v>
      </c>
      <c r="D30" s="136"/>
      <c r="E30" s="27"/>
      <c r="F30" s="27"/>
      <c r="G30" s="126">
        <f t="shared" ref="G30:G54" si="4">+D30-E30+F30</f>
        <v>0</v>
      </c>
      <c r="H30"/>
    </row>
    <row r="31" spans="1:8" ht="15" customHeight="1">
      <c r="A31" s="6"/>
      <c r="B31" s="65" t="s">
        <v>62</v>
      </c>
      <c r="C31" s="48" t="s">
        <v>13</v>
      </c>
      <c r="D31" s="136"/>
      <c r="E31" s="27"/>
      <c r="F31" s="27"/>
      <c r="G31" s="126">
        <f t="shared" si="4"/>
        <v>0</v>
      </c>
      <c r="H31"/>
    </row>
    <row r="32" spans="1:8" ht="15" customHeight="1">
      <c r="A32" s="6"/>
      <c r="B32" s="65" t="s">
        <v>27</v>
      </c>
      <c r="C32" s="48" t="s">
        <v>13</v>
      </c>
      <c r="D32" s="136"/>
      <c r="E32" s="27"/>
      <c r="F32" s="27"/>
      <c r="G32" s="126">
        <f t="shared" si="4"/>
        <v>0</v>
      </c>
    </row>
    <row r="33" spans="1:8" ht="15" customHeight="1">
      <c r="A33" s="6"/>
      <c r="B33" s="65" t="s">
        <v>63</v>
      </c>
      <c r="C33" s="48" t="s">
        <v>13</v>
      </c>
      <c r="D33" s="136"/>
      <c r="E33" s="27"/>
      <c r="F33" s="116">
        <f>+'BALANCE AÑO 2021'!G9</f>
        <v>1599193</v>
      </c>
      <c r="G33" s="126">
        <f t="shared" si="4"/>
        <v>1599193</v>
      </c>
      <c r="H33"/>
    </row>
    <row r="34" spans="1:8" ht="15" customHeight="1">
      <c r="A34" s="6"/>
      <c r="B34" s="65" t="s">
        <v>64</v>
      </c>
      <c r="C34" s="48" t="s">
        <v>13</v>
      </c>
      <c r="D34" s="136"/>
      <c r="E34" s="27"/>
      <c r="F34" s="116"/>
      <c r="G34" s="126">
        <f t="shared" si="4"/>
        <v>0</v>
      </c>
      <c r="H34"/>
    </row>
    <row r="35" spans="1:8">
      <c r="A35" s="6"/>
      <c r="B35" s="65" t="s">
        <v>65</v>
      </c>
      <c r="C35" s="48" t="s">
        <v>13</v>
      </c>
      <c r="D35" s="136">
        <f>+'BALANCE AÑO 2021'!I38+'BALANCE AÑO 2021'!I39+'BALANCE AÑO 2021'!I40</f>
        <v>40957483</v>
      </c>
      <c r="E35" s="27">
        <f>+'BALANCE AÑO 2021'!H21+'BALANCE AÑO 2021'!H23</f>
        <v>2933811</v>
      </c>
      <c r="F35" s="116">
        <f>+'BASE IMPONIBLE AT 2021'!E35</f>
        <v>2145560</v>
      </c>
      <c r="G35" s="126">
        <f>+D35-E35+F35</f>
        <v>40169232</v>
      </c>
      <c r="H35"/>
    </row>
    <row r="36" spans="1:8">
      <c r="A36" s="6"/>
      <c r="B36" s="65" t="s">
        <v>61</v>
      </c>
      <c r="C36" s="48" t="s">
        <v>13</v>
      </c>
      <c r="D36" s="136">
        <f>+'BALANCE AÑO 2021'!I42</f>
        <v>1340914</v>
      </c>
      <c r="E36" s="27">
        <f>+'BALANCE AÑO 2021'!H22</f>
        <v>1192286</v>
      </c>
      <c r="F36" s="116"/>
      <c r="G36" s="126">
        <f t="shared" si="4"/>
        <v>148628</v>
      </c>
      <c r="H36"/>
    </row>
    <row r="37" spans="1:8">
      <c r="A37" s="6"/>
      <c r="B37" s="65" t="s">
        <v>67</v>
      </c>
      <c r="C37" s="48" t="s">
        <v>13</v>
      </c>
      <c r="D37" s="136"/>
      <c r="E37" s="27"/>
      <c r="F37" s="116"/>
      <c r="G37" s="126">
        <f t="shared" si="4"/>
        <v>0</v>
      </c>
      <c r="H37"/>
    </row>
    <row r="38" spans="1:8">
      <c r="A38" s="6"/>
      <c r="B38" s="65" t="s">
        <v>68</v>
      </c>
      <c r="C38" s="48" t="s">
        <v>13</v>
      </c>
      <c r="D38" s="136"/>
      <c r="E38" s="27"/>
      <c r="F38" s="116"/>
      <c r="G38" s="126">
        <f t="shared" si="4"/>
        <v>0</v>
      </c>
      <c r="H38"/>
    </row>
    <row r="39" spans="1:8">
      <c r="A39" s="6"/>
      <c r="B39" s="65" t="s">
        <v>69</v>
      </c>
      <c r="C39" s="48" t="s">
        <v>13</v>
      </c>
      <c r="D39" s="138"/>
      <c r="E39" s="27"/>
      <c r="F39" s="116"/>
      <c r="G39" s="126">
        <f t="shared" si="4"/>
        <v>0</v>
      </c>
      <c r="H39"/>
    </row>
    <row r="40" spans="1:8">
      <c r="A40" s="6"/>
      <c r="B40" s="66" t="s">
        <v>66</v>
      </c>
      <c r="C40" s="48" t="s">
        <v>13</v>
      </c>
      <c r="D40" s="138"/>
      <c r="E40" s="27"/>
      <c r="F40" s="116"/>
      <c r="G40" s="126">
        <f t="shared" si="4"/>
        <v>0</v>
      </c>
      <c r="H40"/>
    </row>
    <row r="41" spans="1:8" ht="15" customHeight="1">
      <c r="A41" s="6"/>
      <c r="B41" s="66" t="s">
        <v>36</v>
      </c>
      <c r="C41" s="48" t="s">
        <v>13</v>
      </c>
      <c r="D41" s="136"/>
      <c r="E41" s="27"/>
      <c r="F41" s="116"/>
      <c r="G41" s="126">
        <f t="shared" si="4"/>
        <v>0</v>
      </c>
    </row>
    <row r="42" spans="1:8" ht="15" customHeight="1">
      <c r="A42" s="6"/>
      <c r="B42" s="66" t="s">
        <v>37</v>
      </c>
      <c r="C42" s="48" t="s">
        <v>13</v>
      </c>
      <c r="D42" s="136"/>
      <c r="E42" s="27"/>
      <c r="F42" s="116"/>
      <c r="G42" s="126">
        <f t="shared" si="4"/>
        <v>0</v>
      </c>
    </row>
    <row r="43" spans="1:8" ht="15" customHeight="1">
      <c r="A43" s="6"/>
      <c r="B43" s="66" t="s">
        <v>38</v>
      </c>
      <c r="C43" s="48" t="s">
        <v>13</v>
      </c>
      <c r="D43" s="136"/>
      <c r="E43" s="27"/>
      <c r="F43" s="116"/>
      <c r="G43" s="126">
        <f t="shared" si="4"/>
        <v>0</v>
      </c>
    </row>
    <row r="44" spans="1:8" ht="15" customHeight="1">
      <c r="A44" s="6"/>
      <c r="B44" s="66" t="s">
        <v>39</v>
      </c>
      <c r="C44" s="48" t="s">
        <v>13</v>
      </c>
      <c r="D44" s="136"/>
      <c r="E44" s="27"/>
      <c r="F44" s="116"/>
      <c r="G44" s="126">
        <f t="shared" si="4"/>
        <v>0</v>
      </c>
    </row>
    <row r="45" spans="1:8">
      <c r="A45" s="6"/>
      <c r="B45" s="82" t="s">
        <v>70</v>
      </c>
      <c r="C45" s="48" t="s">
        <v>13</v>
      </c>
      <c r="D45" s="136"/>
      <c r="E45" s="27"/>
      <c r="F45" s="116"/>
      <c r="G45" s="126">
        <f t="shared" si="4"/>
        <v>0</v>
      </c>
    </row>
    <row r="46" spans="1:8">
      <c r="A46" s="6"/>
      <c r="B46" s="82" t="s">
        <v>71</v>
      </c>
      <c r="C46" s="48" t="s">
        <v>13</v>
      </c>
      <c r="D46" s="136"/>
      <c r="E46" s="27"/>
      <c r="F46" s="116"/>
      <c r="G46" s="126">
        <f t="shared" si="4"/>
        <v>0</v>
      </c>
    </row>
    <row r="47" spans="1:8" ht="15" customHeight="1">
      <c r="A47" s="6"/>
      <c r="B47" s="82" t="s">
        <v>79</v>
      </c>
      <c r="C47" s="48" t="s">
        <v>13</v>
      </c>
      <c r="D47" s="136"/>
      <c r="E47" s="27"/>
      <c r="F47" s="116"/>
      <c r="G47" s="126">
        <f t="shared" si="4"/>
        <v>0</v>
      </c>
    </row>
    <row r="48" spans="1:8" ht="15" customHeight="1">
      <c r="A48" s="6"/>
      <c r="B48" s="82" t="s">
        <v>80</v>
      </c>
      <c r="C48" s="48" t="s">
        <v>13</v>
      </c>
      <c r="D48" s="136"/>
      <c r="E48" s="27"/>
      <c r="F48" s="116"/>
      <c r="G48" s="126">
        <f t="shared" si="4"/>
        <v>0</v>
      </c>
    </row>
    <row r="49" spans="1:9" ht="15" customHeight="1">
      <c r="A49" s="6"/>
      <c r="B49" s="66" t="s">
        <v>42</v>
      </c>
      <c r="C49" s="48" t="s">
        <v>13</v>
      </c>
      <c r="D49" s="136"/>
      <c r="E49" s="27"/>
      <c r="F49" s="116"/>
      <c r="G49" s="126">
        <f t="shared" si="4"/>
        <v>0</v>
      </c>
    </row>
    <row r="50" spans="1:9">
      <c r="A50" s="6"/>
      <c r="B50" s="66" t="s">
        <v>86</v>
      </c>
      <c r="C50" s="48" t="s">
        <v>13</v>
      </c>
      <c r="D50" s="136">
        <f>SUM('BALANCE AÑO 2021'!I43:I58)+'BALANCE AÑO 2021'!I41+'BALANCE AÑO 2021'!I61</f>
        <v>152765988</v>
      </c>
      <c r="E50" s="27">
        <f>+'BALANCE AÑO 2021'!H20/1.19</f>
        <v>45777979.831932776</v>
      </c>
      <c r="F50" s="116">
        <f>+'BASE IMPONIBLE AT 2021'!E49+'BALANCE AÑO 2021'!C19+'BALANCE AÑO 2021'!C59</f>
        <v>27618053.974789917</v>
      </c>
      <c r="G50" s="126">
        <f>+D50-E50+F50</f>
        <v>134606062.14285713</v>
      </c>
      <c r="H50" t="s">
        <v>217</v>
      </c>
    </row>
    <row r="51" spans="1:9" ht="15" customHeight="1">
      <c r="A51" s="6"/>
      <c r="B51" s="66" t="s">
        <v>44</v>
      </c>
      <c r="C51" s="48" t="s">
        <v>13</v>
      </c>
      <c r="D51" s="136"/>
      <c r="E51" s="27"/>
      <c r="F51" s="116"/>
      <c r="G51" s="126">
        <f t="shared" si="4"/>
        <v>0</v>
      </c>
    </row>
    <row r="52" spans="1:9">
      <c r="A52" s="6"/>
      <c r="B52" s="66" t="s">
        <v>45</v>
      </c>
      <c r="C52" s="48" t="s">
        <v>13</v>
      </c>
      <c r="D52" s="136"/>
      <c r="E52" s="27"/>
      <c r="F52" s="116">
        <f>-'BASE IMPONIBLE AT 2021'!G68</f>
        <v>14903966.155304253</v>
      </c>
      <c r="G52" s="126">
        <f t="shared" si="4"/>
        <v>14903966.155304253</v>
      </c>
    </row>
    <row r="53" spans="1:9" ht="16.5" customHeight="1">
      <c r="A53" s="6"/>
      <c r="B53" s="65" t="s">
        <v>46</v>
      </c>
      <c r="C53" s="48" t="s">
        <v>13</v>
      </c>
      <c r="D53" s="136"/>
      <c r="E53" s="27"/>
      <c r="F53" s="116"/>
      <c r="G53" s="126">
        <f t="shared" si="4"/>
        <v>0</v>
      </c>
    </row>
    <row r="54" spans="1:9">
      <c r="A54" s="6"/>
      <c r="B54" s="65" t="s">
        <v>3</v>
      </c>
      <c r="C54" s="48" t="s">
        <v>13</v>
      </c>
      <c r="D54" s="136"/>
      <c r="E54" s="27"/>
      <c r="F54" s="116"/>
      <c r="G54" s="126">
        <f t="shared" si="4"/>
        <v>0</v>
      </c>
    </row>
    <row r="55" spans="1:9">
      <c r="A55" s="6"/>
      <c r="B55" s="65" t="s">
        <v>87</v>
      </c>
      <c r="C55" s="20"/>
      <c r="D55" s="136"/>
      <c r="E55" s="27"/>
      <c r="F55" s="116"/>
      <c r="G55" s="88"/>
    </row>
    <row r="56" spans="1:9" ht="15" customHeight="1">
      <c r="A56" s="6"/>
      <c r="B56" s="54" t="s">
        <v>88</v>
      </c>
      <c r="C56" s="48" t="s">
        <v>13</v>
      </c>
      <c r="D56" s="136">
        <f>+'BALANCE AÑO 2021'!I60</f>
        <v>7099497</v>
      </c>
      <c r="E56" s="27"/>
      <c r="F56" s="116"/>
      <c r="G56" s="88"/>
    </row>
    <row r="57" spans="1:9" ht="15" customHeight="1">
      <c r="A57" s="6"/>
      <c r="B57" s="54" t="s">
        <v>94</v>
      </c>
      <c r="C57" s="48" t="s">
        <v>13</v>
      </c>
      <c r="D57" s="136"/>
      <c r="E57" s="27"/>
      <c r="F57" s="116"/>
      <c r="G57" s="89"/>
    </row>
    <row r="58" spans="1:9" ht="15" customHeight="1">
      <c r="A58" s="6"/>
      <c r="B58" s="54" t="s">
        <v>209</v>
      </c>
      <c r="C58" s="48" t="s">
        <v>13</v>
      </c>
      <c r="D58" s="136">
        <f>+'BALANCE AÑO 2021'!I59</f>
        <v>384752</v>
      </c>
      <c r="E58" s="27"/>
      <c r="F58" s="116"/>
      <c r="G58" s="112"/>
    </row>
    <row r="59" spans="1:9" ht="15" customHeight="1">
      <c r="A59" s="6"/>
      <c r="B59" s="54" t="s">
        <v>75</v>
      </c>
      <c r="C59" s="48" t="s">
        <v>13</v>
      </c>
      <c r="D59" s="136"/>
      <c r="E59" s="27"/>
      <c r="F59" s="116"/>
      <c r="G59" s="89"/>
    </row>
    <row r="60" spans="1:9" ht="15" customHeight="1">
      <c r="A60" s="6"/>
      <c r="B60" s="54" t="s">
        <v>75</v>
      </c>
      <c r="C60" s="48" t="s">
        <v>13</v>
      </c>
      <c r="D60" s="136"/>
      <c r="E60" s="27"/>
      <c r="F60" s="116"/>
      <c r="G60" s="89"/>
    </row>
    <row r="61" spans="1:9" ht="15" customHeight="1" thickBot="1">
      <c r="A61" s="6"/>
      <c r="B61" s="67" t="s">
        <v>75</v>
      </c>
      <c r="C61" s="68" t="s">
        <v>13</v>
      </c>
      <c r="D61" s="136"/>
      <c r="E61" s="27"/>
      <c r="F61" s="27"/>
      <c r="G61" s="89"/>
    </row>
    <row r="62" spans="1:9" ht="15.75" thickBot="1">
      <c r="A62" s="6"/>
      <c r="B62" s="83" t="s">
        <v>47</v>
      </c>
      <c r="C62" s="84" t="s">
        <v>1</v>
      </c>
      <c r="D62" s="142">
        <f>SUM(D30:D61)</f>
        <v>202548634</v>
      </c>
      <c r="E62" s="98"/>
      <c r="F62" s="98"/>
      <c r="G62" s="113">
        <f>SUM(G30:G61)</f>
        <v>191427081.29816139</v>
      </c>
      <c r="I62" s="96"/>
    </row>
    <row r="63" spans="1:9" ht="15.75" thickBot="1">
      <c r="A63" s="6"/>
      <c r="B63" s="83" t="s">
        <v>89</v>
      </c>
      <c r="C63" s="84" t="s">
        <v>1</v>
      </c>
      <c r="D63" s="142">
        <f>+D29-D62</f>
        <v>-29583800</v>
      </c>
      <c r="E63" s="99"/>
      <c r="F63" s="99"/>
      <c r="G63" s="114"/>
      <c r="I63" s="96"/>
    </row>
    <row r="64" spans="1:9" ht="15.75" customHeight="1" thickBot="1">
      <c r="A64" s="6"/>
      <c r="B64" s="85" t="s">
        <v>48</v>
      </c>
      <c r="C64" s="86" t="s">
        <v>0</v>
      </c>
      <c r="D64" s="141"/>
      <c r="E64" s="98"/>
      <c r="F64" s="98"/>
      <c r="G64" s="113">
        <f>+G47+G48</f>
        <v>0</v>
      </c>
      <c r="I64" s="97"/>
    </row>
    <row r="65" spans="1:9" ht="15.75" customHeight="1" thickBot="1">
      <c r="A65" s="6"/>
      <c r="B65" s="72" t="s">
        <v>51</v>
      </c>
      <c r="C65" s="16" t="s">
        <v>1</v>
      </c>
      <c r="D65" s="143"/>
      <c r="E65" s="99"/>
      <c r="F65" s="99"/>
      <c r="G65" s="113">
        <f>+G29-G62+G64</f>
        <v>-19462247.298161387</v>
      </c>
      <c r="I65" s="96"/>
    </row>
    <row r="66" spans="1:9" ht="15.75" customHeight="1" thickBot="1">
      <c r="A66" s="6"/>
      <c r="B66" s="72" t="s">
        <v>52</v>
      </c>
      <c r="C66" s="73"/>
      <c r="D66" s="144"/>
      <c r="E66" s="110"/>
      <c r="F66" s="110"/>
      <c r="G66" s="113"/>
      <c r="I66" s="97"/>
    </row>
    <row r="67" spans="1:9" ht="15.75" thickBot="1">
      <c r="A67" s="6"/>
      <c r="B67" s="61" t="s">
        <v>9</v>
      </c>
      <c r="C67" s="56" t="s">
        <v>13</v>
      </c>
      <c r="D67" s="145"/>
      <c r="E67" s="100"/>
      <c r="F67" s="100"/>
      <c r="G67" s="113"/>
      <c r="I67" s="97"/>
    </row>
    <row r="68" spans="1:9" ht="15.75" customHeight="1" thickBot="1">
      <c r="A68" s="6"/>
      <c r="B68" s="60" t="s">
        <v>4</v>
      </c>
      <c r="C68" s="68" t="s">
        <v>13</v>
      </c>
      <c r="D68" s="146"/>
      <c r="E68" s="101"/>
      <c r="F68" s="101"/>
      <c r="G68" s="113"/>
    </row>
    <row r="69" spans="1:9" ht="15.75" customHeight="1" thickBot="1">
      <c r="A69" s="6"/>
      <c r="B69" s="69" t="s">
        <v>50</v>
      </c>
      <c r="C69" s="18" t="s">
        <v>1</v>
      </c>
      <c r="D69" s="141"/>
      <c r="E69" s="98"/>
      <c r="F69" s="98"/>
      <c r="G69" s="113">
        <f>+G65</f>
        <v>-19462247.298161387</v>
      </c>
    </row>
    <row r="70" spans="1:9" ht="15.75" customHeight="1" thickBot="1">
      <c r="A70" s="5"/>
      <c r="B70" s="71"/>
      <c r="C70" s="95"/>
      <c r="D70" s="147"/>
      <c r="E70" s="102"/>
      <c r="F70" s="102"/>
      <c r="G70" s="113"/>
    </row>
    <row r="71" spans="1:9" ht="15.75" thickBot="1">
      <c r="B71" s="91" t="s">
        <v>53</v>
      </c>
      <c r="C71" s="92"/>
      <c r="D71" s="148"/>
      <c r="E71" s="111"/>
      <c r="F71" s="111"/>
      <c r="G71" s="113"/>
    </row>
    <row r="72" spans="1:9" ht="15.75" thickBot="1">
      <c r="B72" s="65" t="s">
        <v>6</v>
      </c>
      <c r="C72" s="9" t="s">
        <v>0</v>
      </c>
      <c r="D72" s="149"/>
      <c r="E72" s="103"/>
      <c r="F72" s="103"/>
      <c r="G72" s="113"/>
    </row>
    <row r="73" spans="1:9" ht="15.75" thickBot="1">
      <c r="B73" s="60" t="s">
        <v>7</v>
      </c>
      <c r="C73" s="13" t="s">
        <v>0</v>
      </c>
      <c r="D73" s="150"/>
      <c r="E73" s="104"/>
      <c r="F73" s="104"/>
      <c r="G73" s="113"/>
    </row>
    <row r="74" spans="1:9" ht="15.75" thickBot="1">
      <c r="B74" s="69" t="s">
        <v>8</v>
      </c>
      <c r="C74" s="18" t="s">
        <v>1</v>
      </c>
      <c r="D74" s="141"/>
      <c r="E74" s="98"/>
      <c r="F74" s="98"/>
      <c r="G74" s="113">
        <f>+G69</f>
        <v>-19462247.298161387</v>
      </c>
    </row>
    <row r="75" spans="1:9" ht="15.75" thickBot="1">
      <c r="B75" s="4"/>
      <c r="C75" s="46"/>
      <c r="D75" s="141"/>
      <c r="E75" s="98"/>
      <c r="F75" s="98"/>
      <c r="G75" s="90"/>
    </row>
    <row r="76" spans="1:9" ht="15.75" thickBot="1">
      <c r="B76" s="91" t="s">
        <v>81</v>
      </c>
      <c r="C76" s="92"/>
      <c r="D76" s="141"/>
      <c r="E76" s="98"/>
      <c r="F76" s="98"/>
      <c r="G76" s="93"/>
    </row>
    <row r="77" spans="1:9" ht="15.75" thickBot="1">
      <c r="B77" s="82" t="s">
        <v>70</v>
      </c>
      <c r="C77" s="9" t="s">
        <v>0</v>
      </c>
      <c r="D77" s="141"/>
      <c r="E77" s="98"/>
      <c r="F77" s="98"/>
      <c r="G77" s="94">
        <f>+G45</f>
        <v>0</v>
      </c>
    </row>
    <row r="78" spans="1:9" ht="15.75" thickBot="1">
      <c r="B78" s="69" t="s">
        <v>82</v>
      </c>
      <c r="C78" s="18" t="s">
        <v>1</v>
      </c>
      <c r="D78" s="141"/>
      <c r="E78" s="98"/>
      <c r="F78" s="98"/>
      <c r="G78" s="63">
        <f t="shared" ref="G78" si="5">+G77</f>
        <v>0</v>
      </c>
    </row>
    <row r="80" spans="1:9">
      <c r="D80" s="151"/>
    </row>
    <row r="81" spans="2:7" ht="15.75">
      <c r="B81" s="156" t="s">
        <v>130</v>
      </c>
      <c r="C81" s="157"/>
      <c r="D81" s="5"/>
      <c r="G81" s="115"/>
    </row>
    <row r="82" spans="2:7" ht="15.75">
      <c r="B82" s="158" t="s">
        <v>131</v>
      </c>
      <c r="C82" s="159"/>
      <c r="D82" s="5"/>
    </row>
    <row r="83" spans="2:7">
      <c r="B83" s="160" t="s">
        <v>132</v>
      </c>
      <c r="C83" s="161"/>
      <c r="D83" s="162"/>
      <c r="G83" s="115"/>
    </row>
    <row r="84" spans="2:7">
      <c r="B84" s="163" t="s">
        <v>133</v>
      </c>
      <c r="C84" s="164"/>
      <c r="D84" s="165"/>
    </row>
    <row r="85" spans="2:7">
      <c r="B85" s="163" t="s">
        <v>134</v>
      </c>
      <c r="C85" s="164"/>
      <c r="D85" s="165">
        <f>+G64</f>
        <v>0</v>
      </c>
    </row>
    <row r="86" spans="2:7">
      <c r="B86" s="160" t="s">
        <v>135</v>
      </c>
      <c r="C86" s="166"/>
      <c r="D86" s="162">
        <f>+D83-D84-D85</f>
        <v>0</v>
      </c>
    </row>
    <row r="87" spans="2:7">
      <c r="B87" s="167">
        <v>0.5</v>
      </c>
      <c r="C87" s="168"/>
      <c r="D87" s="169">
        <f>+D86/2</f>
        <v>0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31" zoomScaleNormal="100" workbookViewId="0">
      <selection activeCell="W50" sqref="W50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57" t="s">
        <v>14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S2" s="21"/>
    </row>
    <row r="3" spans="3:22" s="31" customFormat="1" ht="23.45" customHeight="1" thickBot="1">
      <c r="C3" s="260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2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63" t="s">
        <v>15</v>
      </c>
      <c r="M4" s="264"/>
      <c r="N4" s="264"/>
      <c r="O4" s="264"/>
      <c r="P4" s="265"/>
      <c r="Q4" s="35"/>
    </row>
    <row r="5" spans="3:22" ht="27" customHeight="1">
      <c r="C5" s="266" t="s">
        <v>16</v>
      </c>
      <c r="D5" s="267"/>
      <c r="E5" s="267"/>
      <c r="F5" s="267"/>
      <c r="G5" s="267"/>
      <c r="H5" s="267"/>
      <c r="I5" s="267"/>
      <c r="J5" s="267"/>
      <c r="K5" s="24">
        <v>1400</v>
      </c>
      <c r="L5" s="268">
        <f>+'BASE IMPONIBLE AT2022'!G5</f>
        <v>154684683</v>
      </c>
      <c r="M5" s="269"/>
      <c r="N5" s="269"/>
      <c r="O5" s="269"/>
      <c r="P5" s="270"/>
      <c r="Q5" s="8" t="s">
        <v>0</v>
      </c>
    </row>
    <row r="6" spans="3:22" ht="27" customHeight="1">
      <c r="C6" s="252" t="s">
        <v>17</v>
      </c>
      <c r="D6" s="253"/>
      <c r="E6" s="253"/>
      <c r="F6" s="253"/>
      <c r="G6" s="253"/>
      <c r="H6" s="253"/>
      <c r="I6" s="253"/>
      <c r="J6" s="253"/>
      <c r="K6" s="26">
        <v>1401</v>
      </c>
      <c r="L6" s="254">
        <f>+'BASE IMPONIBLE AT2022'!G9</f>
        <v>0</v>
      </c>
      <c r="M6" s="255"/>
      <c r="N6" s="255"/>
      <c r="O6" s="255"/>
      <c r="P6" s="256"/>
      <c r="Q6" s="10" t="s">
        <v>0</v>
      </c>
    </row>
    <row r="7" spans="3:22" ht="27" customHeight="1">
      <c r="C7" s="36" t="s">
        <v>18</v>
      </c>
      <c r="D7" s="17"/>
      <c r="E7" s="17"/>
      <c r="F7" s="17"/>
      <c r="G7" s="17"/>
      <c r="H7" s="17"/>
      <c r="I7" s="17"/>
      <c r="J7" s="17"/>
      <c r="K7" s="26">
        <v>1402</v>
      </c>
      <c r="L7" s="254">
        <f>+'BASE IMPONIBLE AT2022'!G10</f>
        <v>0</v>
      </c>
      <c r="M7" s="255"/>
      <c r="N7" s="255"/>
      <c r="O7" s="255"/>
      <c r="P7" s="256"/>
      <c r="Q7" s="10" t="s">
        <v>0</v>
      </c>
    </row>
    <row r="8" spans="3:22" ht="27" customHeight="1">
      <c r="C8" s="271" t="s">
        <v>19</v>
      </c>
      <c r="D8" s="272"/>
      <c r="E8" s="272"/>
      <c r="F8" s="272"/>
      <c r="G8" s="272"/>
      <c r="H8" s="272"/>
      <c r="I8" s="272"/>
      <c r="J8" s="272"/>
      <c r="K8" s="26">
        <v>1403</v>
      </c>
      <c r="L8" s="254">
        <f>+'BASE IMPONIBLE AT2022'!G11</f>
        <v>0</v>
      </c>
      <c r="M8" s="255"/>
      <c r="N8" s="255"/>
      <c r="O8" s="255"/>
      <c r="P8" s="256"/>
      <c r="Q8" s="10" t="s">
        <v>0</v>
      </c>
    </row>
    <row r="9" spans="3:22" ht="27" customHeight="1">
      <c r="C9" s="271" t="s">
        <v>20</v>
      </c>
      <c r="D9" s="272"/>
      <c r="E9" s="272"/>
      <c r="F9" s="272"/>
      <c r="G9" s="272"/>
      <c r="H9" s="272"/>
      <c r="I9" s="272"/>
      <c r="J9" s="272"/>
      <c r="K9" s="26">
        <v>1587</v>
      </c>
      <c r="L9" s="254">
        <f>+'BASE IMPONIBLE AT2022'!G12</f>
        <v>17187187</v>
      </c>
      <c r="M9" s="255"/>
      <c r="N9" s="255"/>
      <c r="O9" s="255"/>
      <c r="P9" s="256"/>
      <c r="Q9" s="10" t="s">
        <v>0</v>
      </c>
    </row>
    <row r="10" spans="3:22" ht="27" customHeight="1">
      <c r="C10" s="252" t="s">
        <v>2</v>
      </c>
      <c r="D10" s="253"/>
      <c r="E10" s="253"/>
      <c r="F10" s="253"/>
      <c r="G10" s="253"/>
      <c r="H10" s="253"/>
      <c r="I10" s="253"/>
      <c r="J10" s="253"/>
      <c r="K10" s="26">
        <v>1588</v>
      </c>
      <c r="L10" s="254">
        <f>+'BASE IMPONIBLE AT2022'!G15</f>
        <v>92964</v>
      </c>
      <c r="M10" s="255"/>
      <c r="N10" s="255"/>
      <c r="O10" s="255"/>
      <c r="P10" s="256"/>
      <c r="Q10" s="10" t="s">
        <v>0</v>
      </c>
    </row>
    <row r="11" spans="3:22" ht="54.6" customHeight="1">
      <c r="C11" s="271" t="s">
        <v>21</v>
      </c>
      <c r="D11" s="272"/>
      <c r="E11" s="272"/>
      <c r="F11" s="272"/>
      <c r="G11" s="272"/>
      <c r="H11" s="272"/>
      <c r="I11" s="272"/>
      <c r="J11" s="272"/>
      <c r="K11" s="26">
        <v>1404</v>
      </c>
      <c r="L11" s="254">
        <f>+'BASE IMPONIBLE AT2022'!G27</f>
        <v>0</v>
      </c>
      <c r="M11" s="255"/>
      <c r="N11" s="255"/>
      <c r="O11" s="255"/>
      <c r="P11" s="256"/>
      <c r="Q11" s="10" t="s">
        <v>0</v>
      </c>
    </row>
    <row r="12" spans="3:22" ht="27" customHeight="1" thickBot="1">
      <c r="C12" s="273" t="s">
        <v>22</v>
      </c>
      <c r="D12" s="274"/>
      <c r="E12" s="274"/>
      <c r="F12" s="274"/>
      <c r="G12" s="274"/>
      <c r="H12" s="274"/>
      <c r="I12" s="274"/>
      <c r="J12" s="274"/>
      <c r="K12" s="25">
        <v>1405</v>
      </c>
      <c r="L12" s="275">
        <f>+'BASE IMPONIBLE AT2022'!G28</f>
        <v>0</v>
      </c>
      <c r="M12" s="276"/>
      <c r="N12" s="276"/>
      <c r="O12" s="276"/>
      <c r="P12" s="277"/>
      <c r="Q12" s="37" t="s">
        <v>0</v>
      </c>
    </row>
    <row r="13" spans="3:22" ht="27" customHeight="1" thickBot="1">
      <c r="C13" s="278" t="s">
        <v>23</v>
      </c>
      <c r="D13" s="279"/>
      <c r="E13" s="279"/>
      <c r="F13" s="279"/>
      <c r="G13" s="279"/>
      <c r="H13" s="279"/>
      <c r="I13" s="279"/>
      <c r="J13" s="280"/>
      <c r="K13" s="18">
        <v>1410</v>
      </c>
      <c r="L13" s="281">
        <f>SUM(L5:P12)</f>
        <v>171964834</v>
      </c>
      <c r="M13" s="281"/>
      <c r="N13" s="281"/>
      <c r="O13" s="281"/>
      <c r="P13" s="281"/>
      <c r="Q13" s="23" t="s">
        <v>1</v>
      </c>
    </row>
    <row r="14" spans="3:22" ht="27" customHeight="1" thickBot="1">
      <c r="C14" s="282" t="s">
        <v>24</v>
      </c>
      <c r="D14" s="283"/>
      <c r="E14" s="283"/>
      <c r="F14" s="283"/>
      <c r="G14" s="283"/>
      <c r="H14" s="283"/>
      <c r="I14" s="283"/>
      <c r="J14" s="284"/>
      <c r="K14" s="30">
        <v>1406</v>
      </c>
      <c r="L14" s="269">
        <f>+'BASE IMPONIBLE AT2022'!G30</f>
        <v>0</v>
      </c>
      <c r="M14" s="269"/>
      <c r="N14" s="269"/>
      <c r="O14" s="269"/>
      <c r="P14" s="269"/>
      <c r="Q14" s="38" t="s">
        <v>13</v>
      </c>
      <c r="S14" s="19" t="s">
        <v>25</v>
      </c>
      <c r="T14" s="19"/>
      <c r="U14" s="19"/>
      <c r="V14" s="19"/>
    </row>
    <row r="15" spans="3:22" ht="27" customHeight="1" thickBot="1">
      <c r="C15" s="271" t="s">
        <v>26</v>
      </c>
      <c r="D15" s="272"/>
      <c r="E15" s="272"/>
      <c r="F15" s="272"/>
      <c r="G15" s="272"/>
      <c r="H15" s="272"/>
      <c r="I15" s="272"/>
      <c r="J15" s="285"/>
      <c r="K15" s="9">
        <v>1407</v>
      </c>
      <c r="L15" s="269">
        <f>+'BASE IMPONIBLE AT2022'!G31</f>
        <v>0</v>
      </c>
      <c r="M15" s="269"/>
      <c r="N15" s="269"/>
      <c r="O15" s="269"/>
      <c r="P15" s="269"/>
      <c r="Q15" s="11" t="s">
        <v>13</v>
      </c>
      <c r="S15" s="19" t="s">
        <v>25</v>
      </c>
    </row>
    <row r="16" spans="3:22" ht="27" customHeight="1" thickBot="1">
      <c r="C16" s="271" t="s">
        <v>27</v>
      </c>
      <c r="D16" s="272"/>
      <c r="E16" s="272"/>
      <c r="F16" s="272"/>
      <c r="G16" s="272"/>
      <c r="H16" s="272"/>
      <c r="I16" s="272"/>
      <c r="J16" s="285"/>
      <c r="K16" s="9">
        <v>1408</v>
      </c>
      <c r="L16" s="269">
        <f>+'BASE IMPONIBLE AT2022'!G32</f>
        <v>0</v>
      </c>
      <c r="M16" s="269"/>
      <c r="N16" s="269"/>
      <c r="O16" s="269"/>
      <c r="P16" s="269"/>
      <c r="Q16" s="11" t="s">
        <v>13</v>
      </c>
      <c r="S16" s="19" t="s">
        <v>25</v>
      </c>
    </row>
    <row r="17" spans="3:17" ht="27" customHeight="1" thickBot="1">
      <c r="C17" s="271" t="s">
        <v>28</v>
      </c>
      <c r="D17" s="272"/>
      <c r="E17" s="272"/>
      <c r="F17" s="272"/>
      <c r="G17" s="272"/>
      <c r="H17" s="272"/>
      <c r="I17" s="272"/>
      <c r="J17" s="285"/>
      <c r="K17" s="9">
        <v>1409</v>
      </c>
      <c r="L17" s="269">
        <f>+'BASE IMPONIBLE AT2022'!G33</f>
        <v>1599193</v>
      </c>
      <c r="M17" s="269"/>
      <c r="N17" s="269"/>
      <c r="O17" s="269"/>
      <c r="P17" s="269"/>
      <c r="Q17" s="11" t="s">
        <v>13</v>
      </c>
    </row>
    <row r="18" spans="3:17" ht="27" customHeight="1" thickBot="1">
      <c r="C18" s="271" t="s">
        <v>29</v>
      </c>
      <c r="D18" s="272"/>
      <c r="E18" s="272"/>
      <c r="F18" s="272"/>
      <c r="G18" s="272"/>
      <c r="H18" s="272"/>
      <c r="I18" s="272"/>
      <c r="J18" s="285"/>
      <c r="K18" s="9">
        <v>1429</v>
      </c>
      <c r="L18" s="269">
        <f>+'BASE IMPONIBLE AT2022'!G34</f>
        <v>0</v>
      </c>
      <c r="M18" s="269"/>
      <c r="N18" s="269"/>
      <c r="O18" s="269"/>
      <c r="P18" s="269"/>
      <c r="Q18" s="11" t="s">
        <v>13</v>
      </c>
    </row>
    <row r="19" spans="3:17" ht="27" customHeight="1" thickBot="1">
      <c r="C19" s="271" t="s">
        <v>30</v>
      </c>
      <c r="D19" s="272"/>
      <c r="E19" s="272"/>
      <c r="F19" s="272"/>
      <c r="G19" s="272"/>
      <c r="H19" s="272"/>
      <c r="I19" s="272"/>
      <c r="J19" s="285"/>
      <c r="K19" s="9">
        <v>1411</v>
      </c>
      <c r="L19" s="269">
        <f>+'BASE IMPONIBLE AT2022'!G35</f>
        <v>40169232</v>
      </c>
      <c r="M19" s="269"/>
      <c r="N19" s="269"/>
      <c r="O19" s="269"/>
      <c r="P19" s="269"/>
      <c r="Q19" s="11" t="s">
        <v>13</v>
      </c>
    </row>
    <row r="20" spans="3:17" ht="27" customHeight="1" thickBot="1">
      <c r="C20" s="271" t="s">
        <v>31</v>
      </c>
      <c r="D20" s="272"/>
      <c r="E20" s="272"/>
      <c r="F20" s="272"/>
      <c r="G20" s="272"/>
      <c r="H20" s="272"/>
      <c r="I20" s="272"/>
      <c r="J20" s="285"/>
      <c r="K20" s="9">
        <v>1412</v>
      </c>
      <c r="L20" s="269">
        <f>+'BASE IMPONIBLE AT2022'!G36</f>
        <v>148628</v>
      </c>
      <c r="M20" s="269"/>
      <c r="N20" s="269"/>
      <c r="O20" s="269"/>
      <c r="P20" s="269"/>
      <c r="Q20" s="11" t="s">
        <v>13</v>
      </c>
    </row>
    <row r="21" spans="3:17" ht="27" customHeight="1" thickBot="1">
      <c r="C21" s="271" t="s">
        <v>32</v>
      </c>
      <c r="D21" s="272"/>
      <c r="E21" s="272"/>
      <c r="F21" s="272"/>
      <c r="G21" s="272"/>
      <c r="H21" s="272"/>
      <c r="I21" s="272"/>
      <c r="J21" s="285"/>
      <c r="K21" s="9">
        <v>1413</v>
      </c>
      <c r="L21" s="269">
        <f>+'BASE IMPONIBLE AT2022'!G37</f>
        <v>0</v>
      </c>
      <c r="M21" s="269"/>
      <c r="N21" s="269"/>
      <c r="O21" s="269"/>
      <c r="P21" s="269"/>
      <c r="Q21" s="11" t="s">
        <v>13</v>
      </c>
    </row>
    <row r="22" spans="3:17" ht="27" customHeight="1" thickBot="1">
      <c r="C22" s="271" t="s">
        <v>33</v>
      </c>
      <c r="D22" s="272"/>
      <c r="E22" s="272"/>
      <c r="F22" s="272"/>
      <c r="G22" s="272"/>
      <c r="H22" s="272"/>
      <c r="I22" s="272"/>
      <c r="J22" s="285"/>
      <c r="K22" s="9">
        <v>1414</v>
      </c>
      <c r="L22" s="269">
        <f>+'BASE IMPONIBLE AT2022'!G38</f>
        <v>0</v>
      </c>
      <c r="M22" s="269"/>
      <c r="N22" s="269"/>
      <c r="O22" s="269"/>
      <c r="P22" s="269"/>
      <c r="Q22" s="11" t="s">
        <v>13</v>
      </c>
    </row>
    <row r="23" spans="3:17" ht="27" customHeight="1" thickBot="1">
      <c r="C23" s="271" t="s">
        <v>34</v>
      </c>
      <c r="D23" s="272"/>
      <c r="E23" s="272"/>
      <c r="F23" s="272"/>
      <c r="G23" s="272"/>
      <c r="H23" s="272"/>
      <c r="I23" s="272"/>
      <c r="J23" s="285"/>
      <c r="K23" s="9">
        <v>1415</v>
      </c>
      <c r="L23" s="269">
        <f>+'BASE IMPONIBLE AT2022'!G39</f>
        <v>0</v>
      </c>
      <c r="M23" s="269"/>
      <c r="N23" s="269"/>
      <c r="O23" s="269"/>
      <c r="P23" s="269"/>
      <c r="Q23" s="11" t="s">
        <v>13</v>
      </c>
    </row>
    <row r="24" spans="3:17" ht="27" customHeight="1" thickBot="1">
      <c r="C24" s="286" t="s">
        <v>35</v>
      </c>
      <c r="D24" s="287"/>
      <c r="E24" s="287"/>
      <c r="F24" s="287"/>
      <c r="G24" s="287"/>
      <c r="H24" s="287"/>
      <c r="I24" s="287"/>
      <c r="J24" s="288"/>
      <c r="K24" s="9">
        <v>1416</v>
      </c>
      <c r="L24" s="269">
        <f>+'BASE IMPONIBLE AT2022'!G40</f>
        <v>0</v>
      </c>
      <c r="M24" s="269"/>
      <c r="N24" s="269"/>
      <c r="O24" s="269"/>
      <c r="P24" s="269"/>
      <c r="Q24" s="11" t="s">
        <v>13</v>
      </c>
    </row>
    <row r="25" spans="3:17" ht="27" customHeight="1" thickBot="1">
      <c r="C25" s="286" t="s">
        <v>36</v>
      </c>
      <c r="D25" s="287"/>
      <c r="E25" s="287"/>
      <c r="F25" s="287"/>
      <c r="G25" s="287"/>
      <c r="H25" s="287"/>
      <c r="I25" s="287"/>
      <c r="J25" s="288"/>
      <c r="K25" s="9">
        <v>1417</v>
      </c>
      <c r="L25" s="269">
        <f>+'BASE IMPONIBLE AT2022'!G41</f>
        <v>0</v>
      </c>
      <c r="M25" s="269"/>
      <c r="N25" s="269"/>
      <c r="O25" s="269"/>
      <c r="P25" s="269"/>
      <c r="Q25" s="11" t="s">
        <v>13</v>
      </c>
    </row>
    <row r="26" spans="3:17" ht="27" customHeight="1" thickBot="1">
      <c r="C26" s="286" t="s">
        <v>37</v>
      </c>
      <c r="D26" s="287"/>
      <c r="E26" s="287"/>
      <c r="F26" s="287"/>
      <c r="G26" s="287"/>
      <c r="H26" s="287"/>
      <c r="I26" s="287"/>
      <c r="J26" s="288"/>
      <c r="K26" s="9">
        <v>1418</v>
      </c>
      <c r="L26" s="269">
        <f>+'BASE IMPONIBLE AT2022'!G42</f>
        <v>0</v>
      </c>
      <c r="M26" s="269"/>
      <c r="N26" s="269"/>
      <c r="O26" s="269"/>
      <c r="P26" s="269"/>
      <c r="Q26" s="11" t="s">
        <v>13</v>
      </c>
    </row>
    <row r="27" spans="3:17" ht="27" customHeight="1" thickBot="1">
      <c r="C27" s="286" t="s">
        <v>38</v>
      </c>
      <c r="D27" s="287"/>
      <c r="E27" s="287"/>
      <c r="F27" s="287"/>
      <c r="G27" s="287"/>
      <c r="H27" s="287"/>
      <c r="I27" s="287"/>
      <c r="J27" s="288"/>
      <c r="K27" s="9">
        <v>1419</v>
      </c>
      <c r="L27" s="269">
        <f>+'BASE IMPONIBLE AT2022'!G43</f>
        <v>0</v>
      </c>
      <c r="M27" s="269"/>
      <c r="N27" s="269"/>
      <c r="O27" s="269"/>
      <c r="P27" s="269"/>
      <c r="Q27" s="11" t="s">
        <v>13</v>
      </c>
    </row>
    <row r="28" spans="3:17" ht="27" customHeight="1" thickBot="1">
      <c r="C28" s="286" t="s">
        <v>39</v>
      </c>
      <c r="D28" s="287"/>
      <c r="E28" s="287"/>
      <c r="F28" s="287"/>
      <c r="G28" s="287"/>
      <c r="H28" s="287"/>
      <c r="I28" s="287"/>
      <c r="J28" s="288"/>
      <c r="K28" s="9">
        <v>1420</v>
      </c>
      <c r="L28" s="269">
        <f>+'BASE IMPONIBLE AT2022'!G44</f>
        <v>0</v>
      </c>
      <c r="M28" s="269"/>
      <c r="N28" s="269"/>
      <c r="O28" s="269"/>
      <c r="P28" s="269"/>
      <c r="Q28" s="11" t="s">
        <v>13</v>
      </c>
    </row>
    <row r="29" spans="3:17" ht="27" customHeight="1" thickBot="1">
      <c r="C29" s="286" t="s">
        <v>40</v>
      </c>
      <c r="D29" s="287"/>
      <c r="E29" s="287"/>
      <c r="F29" s="287"/>
      <c r="G29" s="287"/>
      <c r="H29" s="287"/>
      <c r="I29" s="287"/>
      <c r="J29" s="288"/>
      <c r="K29" s="9">
        <v>1421</v>
      </c>
      <c r="L29" s="269">
        <f>+'BASE IMPONIBLE AT2022'!G45+'BASE IMPONIBLE AT2022'!G46</f>
        <v>0</v>
      </c>
      <c r="M29" s="269"/>
      <c r="N29" s="269"/>
      <c r="O29" s="269"/>
      <c r="P29" s="269"/>
      <c r="Q29" s="11" t="s">
        <v>13</v>
      </c>
    </row>
    <row r="30" spans="3:17" ht="27" customHeight="1" thickBot="1">
      <c r="C30" s="286" t="s">
        <v>41</v>
      </c>
      <c r="D30" s="287"/>
      <c r="E30" s="287"/>
      <c r="F30" s="287"/>
      <c r="G30" s="287"/>
      <c r="H30" s="287"/>
      <c r="I30" s="287"/>
      <c r="J30" s="288"/>
      <c r="K30" s="9">
        <v>1422</v>
      </c>
      <c r="L30" s="269">
        <f>+'BASE IMPONIBLE AT2022'!G47+'BASE IMPONIBLE AT2022'!G48</f>
        <v>0</v>
      </c>
      <c r="M30" s="269"/>
      <c r="N30" s="269"/>
      <c r="O30" s="269"/>
      <c r="P30" s="269"/>
      <c r="Q30" s="11" t="s">
        <v>13</v>
      </c>
    </row>
    <row r="31" spans="3:17" ht="27" customHeight="1" thickBot="1">
      <c r="C31" s="286" t="s">
        <v>42</v>
      </c>
      <c r="D31" s="287"/>
      <c r="E31" s="287"/>
      <c r="F31" s="287"/>
      <c r="G31" s="287"/>
      <c r="H31" s="287"/>
      <c r="I31" s="287"/>
      <c r="J31" s="288"/>
      <c r="K31" s="9">
        <v>1423</v>
      </c>
      <c r="L31" s="269">
        <f>+'BASE IMPONIBLE AT2022'!G49</f>
        <v>0</v>
      </c>
      <c r="M31" s="269"/>
      <c r="N31" s="269"/>
      <c r="O31" s="269"/>
      <c r="P31" s="269"/>
      <c r="Q31" s="11" t="s">
        <v>13</v>
      </c>
    </row>
    <row r="32" spans="3:17" ht="27" customHeight="1" thickBot="1">
      <c r="C32" s="286" t="s">
        <v>43</v>
      </c>
      <c r="D32" s="287"/>
      <c r="E32" s="287"/>
      <c r="F32" s="287"/>
      <c r="G32" s="287"/>
      <c r="H32" s="287"/>
      <c r="I32" s="287"/>
      <c r="J32" s="288"/>
      <c r="K32" s="9">
        <v>1424</v>
      </c>
      <c r="L32" s="269">
        <f>+'BASE IMPONIBLE AT2022'!G50+'BASE IMPONIBLE AT2022'!G58</f>
        <v>134606062.14285713</v>
      </c>
      <c r="M32" s="269"/>
      <c r="N32" s="269"/>
      <c r="O32" s="269"/>
      <c r="P32" s="269"/>
      <c r="Q32" s="11" t="s">
        <v>13</v>
      </c>
    </row>
    <row r="33" spans="3:17" ht="35.450000000000003" customHeight="1" thickBot="1">
      <c r="C33" s="289" t="s">
        <v>44</v>
      </c>
      <c r="D33" s="290"/>
      <c r="E33" s="290"/>
      <c r="F33" s="290"/>
      <c r="G33" s="290"/>
      <c r="H33" s="290"/>
      <c r="I33" s="290"/>
      <c r="J33" s="290"/>
      <c r="K33" s="14">
        <v>1425</v>
      </c>
      <c r="L33" s="269">
        <f>+'BASE IMPONIBLE AT2022'!G51</f>
        <v>0</v>
      </c>
      <c r="M33" s="269"/>
      <c r="N33" s="269"/>
      <c r="O33" s="269"/>
      <c r="P33" s="269"/>
      <c r="Q33" s="15" t="s">
        <v>13</v>
      </c>
    </row>
    <row r="34" spans="3:17" ht="27" customHeight="1">
      <c r="C34" s="289" t="s">
        <v>45</v>
      </c>
      <c r="D34" s="290"/>
      <c r="E34" s="290"/>
      <c r="F34" s="290"/>
      <c r="G34" s="290"/>
      <c r="H34" s="290"/>
      <c r="I34" s="290"/>
      <c r="J34" s="290"/>
      <c r="K34" s="14">
        <v>1426</v>
      </c>
      <c r="L34" s="269">
        <f>+'BASE IMPONIBLE AT2022'!G52</f>
        <v>14903966.155304253</v>
      </c>
      <c r="M34" s="269"/>
      <c r="N34" s="269"/>
      <c r="O34" s="269"/>
      <c r="P34" s="269"/>
      <c r="Q34" s="15" t="s">
        <v>13</v>
      </c>
    </row>
    <row r="35" spans="3:17" ht="27" customHeight="1">
      <c r="C35" s="291" t="s">
        <v>46</v>
      </c>
      <c r="D35" s="292"/>
      <c r="E35" s="292"/>
      <c r="F35" s="292"/>
      <c r="G35" s="292"/>
      <c r="H35" s="292"/>
      <c r="I35" s="292"/>
      <c r="J35" s="292"/>
      <c r="K35" s="14">
        <v>1427</v>
      </c>
      <c r="L35" s="304">
        <f>+'BASE IMPONIBLE AT2022'!G53</f>
        <v>0</v>
      </c>
      <c r="M35" s="304"/>
      <c r="N35" s="304"/>
      <c r="O35" s="304"/>
      <c r="P35" s="304"/>
      <c r="Q35" s="15" t="s">
        <v>13</v>
      </c>
    </row>
    <row r="36" spans="3:17" ht="27" customHeight="1" thickBot="1">
      <c r="C36" s="273" t="s">
        <v>3</v>
      </c>
      <c r="D36" s="274"/>
      <c r="E36" s="274"/>
      <c r="F36" s="274"/>
      <c r="G36" s="274"/>
      <c r="H36" s="274"/>
      <c r="I36" s="274"/>
      <c r="J36" s="274"/>
      <c r="K36" s="22">
        <v>1428</v>
      </c>
      <c r="L36" s="276">
        <f>+'BASE IMPONIBLE AT2022'!G54</f>
        <v>0</v>
      </c>
      <c r="M36" s="276"/>
      <c r="N36" s="276"/>
      <c r="O36" s="276"/>
      <c r="P36" s="276"/>
      <c r="Q36" s="39" t="s">
        <v>13</v>
      </c>
    </row>
    <row r="37" spans="3:17" ht="27" customHeight="1" thickBot="1">
      <c r="C37" s="278" t="s">
        <v>47</v>
      </c>
      <c r="D37" s="279"/>
      <c r="E37" s="279"/>
      <c r="F37" s="279"/>
      <c r="G37" s="279"/>
      <c r="H37" s="279"/>
      <c r="I37" s="279"/>
      <c r="J37" s="280"/>
      <c r="K37" s="18">
        <v>1430</v>
      </c>
      <c r="L37" s="293">
        <f>SUM(L14:P33)+L35+L36+L34</f>
        <v>191427081.29816139</v>
      </c>
      <c r="M37" s="293"/>
      <c r="N37" s="293"/>
      <c r="O37" s="293"/>
      <c r="P37" s="293"/>
      <c r="Q37" s="23" t="s">
        <v>1</v>
      </c>
    </row>
    <row r="38" spans="3:17" ht="40.700000000000003" customHeight="1" thickBot="1">
      <c r="C38" s="294" t="s">
        <v>48</v>
      </c>
      <c r="D38" s="295"/>
      <c r="E38" s="295"/>
      <c r="F38" s="295"/>
      <c r="G38" s="295"/>
      <c r="H38" s="295"/>
      <c r="I38" s="295"/>
      <c r="J38" s="295"/>
      <c r="K38" s="40">
        <v>1431</v>
      </c>
      <c r="L38" s="296">
        <f>+'BASE IMPONIBLE AT2022'!G64</f>
        <v>0</v>
      </c>
      <c r="M38" s="296"/>
      <c r="N38" s="296"/>
      <c r="O38" s="296"/>
      <c r="P38" s="296"/>
      <c r="Q38" s="41" t="s">
        <v>0</v>
      </c>
    </row>
    <row r="39" spans="3:17" ht="56.45" customHeight="1" thickBot="1">
      <c r="C39" s="297" t="s">
        <v>49</v>
      </c>
      <c r="D39" s="298"/>
      <c r="E39" s="298"/>
      <c r="F39" s="298"/>
      <c r="G39" s="298"/>
      <c r="H39" s="298"/>
      <c r="I39" s="298"/>
      <c r="J39" s="299"/>
      <c r="K39" s="18">
        <v>1729</v>
      </c>
      <c r="L39" s="300">
        <f>+L13-L37+L38</f>
        <v>-19462247.298161387</v>
      </c>
      <c r="M39" s="301"/>
      <c r="N39" s="301"/>
      <c r="O39" s="301"/>
      <c r="P39" s="302"/>
      <c r="Q39" s="23" t="s">
        <v>1</v>
      </c>
    </row>
    <row r="40" spans="3:17" ht="27" customHeight="1">
      <c r="C40" s="291" t="s">
        <v>9</v>
      </c>
      <c r="D40" s="292"/>
      <c r="E40" s="292"/>
      <c r="F40" s="292"/>
      <c r="G40" s="292"/>
      <c r="H40" s="292"/>
      <c r="I40" s="292"/>
      <c r="J40" s="303"/>
      <c r="K40" s="14">
        <v>1432</v>
      </c>
      <c r="L40" s="304">
        <f>+'BASE IMPONIBLE AT2022'!G67</f>
        <v>0</v>
      </c>
      <c r="M40" s="304"/>
      <c r="N40" s="304"/>
      <c r="O40" s="304"/>
      <c r="P40" s="304"/>
      <c r="Q40" s="15" t="s">
        <v>13</v>
      </c>
    </row>
    <row r="41" spans="3:17" ht="27" customHeight="1" thickBot="1">
      <c r="C41" s="273" t="s">
        <v>4</v>
      </c>
      <c r="D41" s="274"/>
      <c r="E41" s="274"/>
      <c r="F41" s="274"/>
      <c r="G41" s="274"/>
      <c r="H41" s="274"/>
      <c r="I41" s="274"/>
      <c r="J41" s="305"/>
      <c r="K41" s="22">
        <v>1433</v>
      </c>
      <c r="L41" s="304">
        <f>+'BASE IMPONIBLE AT2022'!G68</f>
        <v>0</v>
      </c>
      <c r="M41" s="304"/>
      <c r="N41" s="304"/>
      <c r="O41" s="304"/>
      <c r="P41" s="304"/>
      <c r="Q41" s="39" t="s">
        <v>13</v>
      </c>
    </row>
    <row r="42" spans="3:17" ht="41.45" customHeight="1" thickBot="1">
      <c r="C42" s="297" t="s">
        <v>50</v>
      </c>
      <c r="D42" s="298"/>
      <c r="E42" s="298"/>
      <c r="F42" s="298"/>
      <c r="G42" s="298"/>
      <c r="H42" s="298"/>
      <c r="I42" s="298"/>
      <c r="J42" s="298"/>
      <c r="K42" s="18">
        <v>1440</v>
      </c>
      <c r="L42" s="281">
        <f>+L39-L40-L41</f>
        <v>-19462247.298161387</v>
      </c>
      <c r="M42" s="281"/>
      <c r="N42" s="281"/>
      <c r="O42" s="281"/>
      <c r="P42" s="281"/>
      <c r="Q42" s="23" t="s">
        <v>1</v>
      </c>
    </row>
    <row r="43" spans="3:17" ht="27" customHeight="1" thickBot="1">
      <c r="C43" s="306" t="s">
        <v>5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8"/>
    </row>
    <row r="44" spans="3:17" ht="27" customHeight="1">
      <c r="C44" s="282" t="s">
        <v>6</v>
      </c>
      <c r="D44" s="283"/>
      <c r="E44" s="283"/>
      <c r="F44" s="283"/>
      <c r="G44" s="283"/>
      <c r="H44" s="283"/>
      <c r="I44" s="283"/>
      <c r="J44" s="284"/>
      <c r="K44" s="30">
        <v>1434</v>
      </c>
      <c r="L44" s="269"/>
      <c r="M44" s="269"/>
      <c r="N44" s="269"/>
      <c r="O44" s="269"/>
      <c r="P44" s="269"/>
      <c r="Q44" s="8" t="s">
        <v>0</v>
      </c>
    </row>
    <row r="45" spans="3:17" ht="40.700000000000003" customHeight="1" thickBot="1">
      <c r="C45" s="273" t="s">
        <v>7</v>
      </c>
      <c r="D45" s="274"/>
      <c r="E45" s="274"/>
      <c r="F45" s="274"/>
      <c r="G45" s="274"/>
      <c r="H45" s="274"/>
      <c r="I45" s="274"/>
      <c r="J45" s="274"/>
      <c r="K45" s="22">
        <v>1435</v>
      </c>
      <c r="L45" s="276"/>
      <c r="M45" s="276"/>
      <c r="N45" s="276"/>
      <c r="O45" s="276"/>
      <c r="P45" s="276"/>
      <c r="Q45" s="37" t="s">
        <v>0</v>
      </c>
    </row>
    <row r="46" spans="3:17" ht="27" customHeight="1" thickBot="1">
      <c r="C46" s="297" t="s">
        <v>8</v>
      </c>
      <c r="D46" s="298"/>
      <c r="E46" s="298"/>
      <c r="F46" s="298"/>
      <c r="G46" s="298"/>
      <c r="H46" s="298"/>
      <c r="I46" s="298"/>
      <c r="J46" s="299"/>
      <c r="K46" s="18">
        <v>1450</v>
      </c>
      <c r="L46" s="281">
        <f>+L42</f>
        <v>-19462247.298161387</v>
      </c>
      <c r="M46" s="281"/>
      <c r="N46" s="281"/>
      <c r="O46" s="281"/>
      <c r="P46" s="281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topLeftCell="A7" zoomScaleNormal="100" workbookViewId="0">
      <selection activeCell="U26" sqref="U26"/>
    </sheetView>
  </sheetViews>
  <sheetFormatPr baseColWidth="10" defaultColWidth="11.5703125" defaultRowHeight="15"/>
  <cols>
    <col min="1" max="1" width="1.85546875" style="7" customWidth="1"/>
    <col min="2" max="2" width="4.5703125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218" customWidth="1"/>
    <col min="18" max="18" width="6" style="7" customWidth="1"/>
    <col min="19" max="19" width="9.140625" style="19" customWidth="1"/>
    <col min="20" max="20" width="7" style="7" customWidth="1"/>
    <col min="21" max="21" width="24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4.5703125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6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4.5703125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6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4.5703125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6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4.5703125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6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4.5703125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6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4.5703125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6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4.5703125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6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4.5703125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6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4.5703125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6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4.5703125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6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4.5703125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6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4.5703125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6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4.5703125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6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4.5703125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6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4.5703125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6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4.5703125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6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4.5703125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6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4.5703125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6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4.5703125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6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4.5703125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6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4.5703125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6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4.5703125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6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4.5703125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6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4.5703125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6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4.5703125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6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4.5703125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6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4.5703125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6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4.5703125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6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4.5703125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6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4.5703125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6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4.5703125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6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4.5703125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6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4.5703125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6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4.5703125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6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4.5703125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6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4.5703125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6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4.5703125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6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4.5703125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6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4.5703125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6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4.5703125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6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4.5703125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6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4.5703125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6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4.5703125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6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4.5703125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6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4.5703125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6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4.5703125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6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4.5703125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6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4.5703125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6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4.5703125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6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4.5703125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6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4.5703125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6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4.5703125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6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4.5703125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6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4.5703125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6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4.5703125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6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4.5703125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6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4.5703125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6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4.5703125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6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4.5703125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6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4.5703125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6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4.5703125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6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4.5703125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6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4.5703125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6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3" ht="15.75" thickBot="1"/>
    <row r="2" spans="3:23">
      <c r="C2" s="257" t="s">
        <v>218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10"/>
    </row>
    <row r="3" spans="3:23" ht="28.7" customHeight="1" thickBot="1">
      <c r="C3" s="311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3:23" ht="27" customHeight="1">
      <c r="C4" s="219" t="s">
        <v>219</v>
      </c>
      <c r="D4" s="220"/>
      <c r="E4" s="220"/>
      <c r="F4" s="220"/>
      <c r="G4" s="220"/>
      <c r="H4" s="220"/>
      <c r="I4" s="220"/>
      <c r="J4" s="220"/>
      <c r="K4" s="117">
        <v>1445</v>
      </c>
      <c r="L4" s="269">
        <f>+'R19 at2021 '!L24:P24</f>
        <v>3558696.8446957469</v>
      </c>
      <c r="M4" s="269"/>
      <c r="N4" s="269"/>
      <c r="O4" s="269"/>
      <c r="P4" s="269"/>
      <c r="Q4" s="221" t="s">
        <v>0</v>
      </c>
      <c r="S4" s="19" t="s">
        <v>220</v>
      </c>
      <c r="V4" s="19"/>
      <c r="W4" s="19"/>
    </row>
    <row r="5" spans="3:23" ht="27" customHeight="1">
      <c r="C5" s="222" t="s">
        <v>221</v>
      </c>
      <c r="D5" s="223"/>
      <c r="E5" s="223"/>
      <c r="F5" s="223"/>
      <c r="G5" s="223"/>
      <c r="H5" s="223"/>
      <c r="I5" s="223"/>
      <c r="J5" s="223"/>
      <c r="K5" s="14">
        <v>1446</v>
      </c>
      <c r="L5" s="304"/>
      <c r="M5" s="304"/>
      <c r="N5" s="304"/>
      <c r="O5" s="304"/>
      <c r="P5" s="304"/>
      <c r="Q5" s="224" t="s">
        <v>13</v>
      </c>
      <c r="S5" s="19" t="s">
        <v>220</v>
      </c>
      <c r="V5" s="19"/>
    </row>
    <row r="6" spans="3:23" ht="27" customHeight="1">
      <c r="C6" s="222" t="s">
        <v>222</v>
      </c>
      <c r="D6" s="223"/>
      <c r="E6" s="223"/>
      <c r="F6" s="223"/>
      <c r="G6" s="223"/>
      <c r="H6" s="223"/>
      <c r="I6" s="223"/>
      <c r="J6" s="223"/>
      <c r="K6" s="14">
        <v>1374</v>
      </c>
      <c r="L6" s="304"/>
      <c r="M6" s="304"/>
      <c r="N6" s="304"/>
      <c r="O6" s="304"/>
      <c r="P6" s="304"/>
      <c r="Q6" s="225" t="s">
        <v>0</v>
      </c>
      <c r="S6" s="19" t="s">
        <v>223</v>
      </c>
    </row>
    <row r="7" spans="3:23" ht="27" customHeight="1">
      <c r="C7" s="226" t="s">
        <v>224</v>
      </c>
      <c r="D7" s="227"/>
      <c r="E7" s="227"/>
      <c r="F7" s="227"/>
      <c r="G7" s="227"/>
      <c r="H7" s="227"/>
      <c r="I7" s="227"/>
      <c r="J7" s="227"/>
      <c r="K7" s="228">
        <v>1375</v>
      </c>
      <c r="L7" s="314"/>
      <c r="M7" s="314"/>
      <c r="N7" s="314"/>
      <c r="O7" s="314"/>
      <c r="P7" s="314"/>
      <c r="Q7" s="229" t="s">
        <v>0</v>
      </c>
    </row>
    <row r="8" spans="3:23" ht="27" customHeight="1">
      <c r="C8" s="315" t="s">
        <v>225</v>
      </c>
      <c r="D8" s="316"/>
      <c r="E8" s="316"/>
      <c r="F8" s="316"/>
      <c r="G8" s="316"/>
      <c r="H8" s="316"/>
      <c r="I8" s="316"/>
      <c r="J8" s="317"/>
      <c r="K8" s="14">
        <v>1376</v>
      </c>
      <c r="L8" s="318"/>
      <c r="M8" s="318"/>
      <c r="N8" s="318"/>
      <c r="O8" s="318"/>
      <c r="P8" s="318"/>
      <c r="Q8" s="230" t="s">
        <v>13</v>
      </c>
    </row>
    <row r="9" spans="3:23" ht="27" customHeight="1">
      <c r="C9" s="319" t="s">
        <v>226</v>
      </c>
      <c r="D9" s="320"/>
      <c r="E9" s="320"/>
      <c r="F9" s="320"/>
      <c r="G9" s="320"/>
      <c r="H9" s="320"/>
      <c r="I9" s="320"/>
      <c r="J9" s="321"/>
      <c r="K9" s="228">
        <v>1705</v>
      </c>
      <c r="L9" s="314"/>
      <c r="M9" s="314"/>
      <c r="N9" s="314"/>
      <c r="O9" s="314"/>
      <c r="P9" s="314"/>
      <c r="Q9" s="229" t="s">
        <v>0</v>
      </c>
      <c r="S9" s="19" t="s">
        <v>227</v>
      </c>
      <c r="U9" s="7" t="s">
        <v>228</v>
      </c>
    </row>
    <row r="10" spans="3:23" ht="27" customHeight="1">
      <c r="C10" s="315" t="s">
        <v>8</v>
      </c>
      <c r="D10" s="316"/>
      <c r="E10" s="316"/>
      <c r="F10" s="316"/>
      <c r="G10" s="316"/>
      <c r="H10" s="316"/>
      <c r="I10" s="316"/>
      <c r="J10" s="317"/>
      <c r="K10" s="14">
        <v>1706</v>
      </c>
      <c r="L10" s="318">
        <f>-'R17 AT2022'!L46:P46</f>
        <v>19462247.298161387</v>
      </c>
      <c r="M10" s="318"/>
      <c r="N10" s="318"/>
      <c r="O10" s="318"/>
      <c r="P10" s="318"/>
      <c r="Q10" s="230" t="s">
        <v>13</v>
      </c>
      <c r="S10" s="19" t="s">
        <v>229</v>
      </c>
    </row>
    <row r="11" spans="3:23" ht="27" customHeight="1">
      <c r="C11" s="222" t="s">
        <v>45</v>
      </c>
      <c r="D11" s="223"/>
      <c r="E11" s="223"/>
      <c r="F11" s="223"/>
      <c r="G11" s="223"/>
      <c r="H11" s="223"/>
      <c r="I11" s="223"/>
      <c r="J11" s="223"/>
      <c r="K11" s="14">
        <v>1707</v>
      </c>
      <c r="L11" s="304">
        <f>+'R17 AT2022'!L34:P34</f>
        <v>14903966.155304253</v>
      </c>
      <c r="M11" s="304"/>
      <c r="N11" s="304"/>
      <c r="O11" s="304"/>
      <c r="P11" s="304"/>
      <c r="Q11" s="225" t="s">
        <v>0</v>
      </c>
      <c r="S11" s="19" t="s">
        <v>230</v>
      </c>
    </row>
    <row r="12" spans="3:23" ht="27" customHeight="1">
      <c r="C12" s="271" t="s">
        <v>231</v>
      </c>
      <c r="D12" s="272"/>
      <c r="E12" s="272"/>
      <c r="F12" s="272"/>
      <c r="G12" s="272"/>
      <c r="H12" s="272"/>
      <c r="I12" s="272"/>
      <c r="J12" s="272"/>
      <c r="K12" s="9">
        <v>1377</v>
      </c>
      <c r="L12" s="255"/>
      <c r="M12" s="255"/>
      <c r="N12" s="255"/>
      <c r="O12" s="255"/>
      <c r="P12" s="255"/>
      <c r="Q12" s="231" t="s">
        <v>0</v>
      </c>
    </row>
    <row r="13" spans="3:23" ht="27" customHeight="1">
      <c r="C13" s="286" t="s">
        <v>232</v>
      </c>
      <c r="D13" s="322"/>
      <c r="E13" s="322"/>
      <c r="F13" s="322"/>
      <c r="G13" s="322"/>
      <c r="H13" s="322"/>
      <c r="I13" s="322"/>
      <c r="J13" s="323"/>
      <c r="K13" s="9">
        <v>1378</v>
      </c>
      <c r="L13" s="255"/>
      <c r="M13" s="255"/>
      <c r="N13" s="255"/>
      <c r="O13" s="255"/>
      <c r="P13" s="255"/>
      <c r="Q13" s="232" t="s">
        <v>13</v>
      </c>
    </row>
    <row r="14" spans="3:23" ht="27" customHeight="1">
      <c r="C14" s="286" t="s">
        <v>233</v>
      </c>
      <c r="D14" s="322"/>
      <c r="E14" s="322"/>
      <c r="F14" s="322"/>
      <c r="G14" s="322"/>
      <c r="H14" s="322"/>
      <c r="I14" s="322"/>
      <c r="J14" s="323"/>
      <c r="K14" s="9">
        <v>1726</v>
      </c>
      <c r="L14" s="255"/>
      <c r="M14" s="255"/>
      <c r="N14" s="255"/>
      <c r="O14" s="255"/>
      <c r="P14" s="255"/>
      <c r="Q14" s="231" t="s">
        <v>0</v>
      </c>
    </row>
    <row r="15" spans="3:23" ht="27" customHeight="1">
      <c r="C15" s="271" t="s">
        <v>234</v>
      </c>
      <c r="D15" s="272"/>
      <c r="E15" s="272"/>
      <c r="F15" s="272"/>
      <c r="G15" s="272"/>
      <c r="H15" s="272"/>
      <c r="I15" s="272"/>
      <c r="J15" s="272"/>
      <c r="K15" s="9">
        <v>1591</v>
      </c>
      <c r="L15" s="255"/>
      <c r="M15" s="255"/>
      <c r="N15" s="255"/>
      <c r="O15" s="255"/>
      <c r="P15" s="255"/>
      <c r="Q15" s="232" t="s">
        <v>13</v>
      </c>
    </row>
    <row r="16" spans="3:23" ht="27" customHeight="1">
      <c r="C16" s="271" t="s">
        <v>235</v>
      </c>
      <c r="D16" s="272"/>
      <c r="E16" s="272"/>
      <c r="F16" s="272"/>
      <c r="G16" s="272"/>
      <c r="H16" s="272"/>
      <c r="I16" s="272"/>
      <c r="J16" s="285"/>
      <c r="K16" s="9">
        <v>1479</v>
      </c>
      <c r="L16" s="314"/>
      <c r="M16" s="314"/>
      <c r="N16" s="314"/>
      <c r="O16" s="314"/>
      <c r="P16" s="314"/>
      <c r="Q16" s="232" t="s">
        <v>13</v>
      </c>
    </row>
    <row r="17" spans="3:21" ht="27" customHeight="1">
      <c r="C17" s="271" t="s">
        <v>236</v>
      </c>
      <c r="D17" s="272"/>
      <c r="E17" s="272"/>
      <c r="F17" s="272"/>
      <c r="G17" s="272"/>
      <c r="H17" s="272"/>
      <c r="I17" s="272"/>
      <c r="J17" s="272"/>
      <c r="K17" s="9">
        <v>1708</v>
      </c>
      <c r="L17" s="255"/>
      <c r="M17" s="255"/>
      <c r="N17" s="255"/>
      <c r="O17" s="255"/>
      <c r="P17" s="255"/>
      <c r="Q17" s="232" t="s">
        <v>13</v>
      </c>
    </row>
    <row r="18" spans="3:21" ht="27" customHeight="1">
      <c r="C18" s="271" t="s">
        <v>237</v>
      </c>
      <c r="D18" s="272"/>
      <c r="E18" s="272"/>
      <c r="F18" s="272"/>
      <c r="G18" s="272"/>
      <c r="H18" s="272"/>
      <c r="I18" s="272"/>
      <c r="J18" s="272"/>
      <c r="K18" s="9">
        <v>1709</v>
      </c>
      <c r="L18" s="255"/>
      <c r="M18" s="255"/>
      <c r="N18" s="255"/>
      <c r="O18" s="255"/>
      <c r="P18" s="255"/>
      <c r="Q18" s="232" t="s">
        <v>13</v>
      </c>
    </row>
    <row r="19" spans="3:21" ht="27" customHeight="1">
      <c r="C19" s="286" t="s">
        <v>238</v>
      </c>
      <c r="D19" s="322"/>
      <c r="E19" s="322"/>
      <c r="F19" s="322"/>
      <c r="G19" s="322"/>
      <c r="H19" s="322"/>
      <c r="I19" s="322"/>
      <c r="J19" s="323"/>
      <c r="K19" s="9">
        <v>1379</v>
      </c>
      <c r="L19" s="255"/>
      <c r="M19" s="255"/>
      <c r="N19" s="255"/>
      <c r="O19" s="255"/>
      <c r="P19" s="255"/>
      <c r="Q19" s="232" t="s">
        <v>13</v>
      </c>
    </row>
    <row r="20" spans="3:21" ht="27" customHeight="1">
      <c r="C20" s="233" t="s">
        <v>9</v>
      </c>
      <c r="D20" s="17"/>
      <c r="E20" s="17"/>
      <c r="F20" s="17"/>
      <c r="G20" s="17"/>
      <c r="H20" s="17"/>
      <c r="I20" s="17"/>
      <c r="J20" s="17"/>
      <c r="K20" s="9">
        <v>1710</v>
      </c>
      <c r="L20" s="255"/>
      <c r="M20" s="255"/>
      <c r="N20" s="255"/>
      <c r="O20" s="255"/>
      <c r="P20" s="255"/>
      <c r="Q20" s="231" t="s">
        <v>0</v>
      </c>
    </row>
    <row r="21" spans="3:21" ht="27" customHeight="1">
      <c r="C21" s="286" t="s">
        <v>239</v>
      </c>
      <c r="D21" s="322"/>
      <c r="E21" s="322"/>
      <c r="F21" s="322"/>
      <c r="G21" s="322"/>
      <c r="H21" s="322"/>
      <c r="I21" s="322"/>
      <c r="J21" s="323"/>
      <c r="K21" s="9">
        <v>1711</v>
      </c>
      <c r="L21" s="255"/>
      <c r="M21" s="255"/>
      <c r="N21" s="255"/>
      <c r="O21" s="255"/>
      <c r="P21" s="255"/>
      <c r="Q21" s="231" t="s">
        <v>0</v>
      </c>
    </row>
    <row r="22" spans="3:21" ht="27" customHeight="1">
      <c r="C22" s="36" t="s">
        <v>240</v>
      </c>
      <c r="D22" s="17"/>
      <c r="E22" s="17"/>
      <c r="F22" s="17"/>
      <c r="G22" s="17"/>
      <c r="H22" s="17"/>
      <c r="I22" s="17"/>
      <c r="J22" s="17"/>
      <c r="K22" s="9">
        <v>1380</v>
      </c>
      <c r="L22" s="255"/>
      <c r="M22" s="255"/>
      <c r="N22" s="255"/>
      <c r="O22" s="255"/>
      <c r="P22" s="255"/>
      <c r="Q22" s="231" t="s">
        <v>0</v>
      </c>
    </row>
    <row r="23" spans="3:21" ht="27" customHeight="1" thickBot="1">
      <c r="C23" s="234" t="s">
        <v>241</v>
      </c>
      <c r="D23" s="235"/>
      <c r="E23" s="235"/>
      <c r="F23" s="235"/>
      <c r="G23" s="235"/>
      <c r="H23" s="235"/>
      <c r="I23" s="235"/>
      <c r="J23" s="235"/>
      <c r="K23" s="22">
        <v>1381</v>
      </c>
      <c r="L23" s="276"/>
      <c r="M23" s="276"/>
      <c r="N23" s="276"/>
      <c r="O23" s="276"/>
      <c r="P23" s="276"/>
      <c r="Q23" s="236" t="s">
        <v>13</v>
      </c>
    </row>
    <row r="24" spans="3:21" ht="27" customHeight="1" thickBot="1">
      <c r="C24" s="324" t="s">
        <v>242</v>
      </c>
      <c r="D24" s="325"/>
      <c r="E24" s="325"/>
      <c r="F24" s="325"/>
      <c r="G24" s="325"/>
      <c r="H24" s="325"/>
      <c r="I24" s="325"/>
      <c r="J24" s="326"/>
      <c r="K24" s="18">
        <v>1545</v>
      </c>
      <c r="L24" s="281"/>
      <c r="M24" s="281"/>
      <c r="N24" s="281"/>
      <c r="O24" s="281"/>
      <c r="P24" s="281"/>
      <c r="Q24" s="237" t="s">
        <v>1</v>
      </c>
      <c r="U24" s="238">
        <f>+L24</f>
        <v>0</v>
      </c>
    </row>
    <row r="25" spans="3:21" ht="27" customHeight="1" thickBot="1">
      <c r="C25" s="324" t="s">
        <v>243</v>
      </c>
      <c r="D25" s="325"/>
      <c r="E25" s="325"/>
      <c r="F25" s="325"/>
      <c r="G25" s="325"/>
      <c r="H25" s="325"/>
      <c r="I25" s="325"/>
      <c r="J25" s="326"/>
      <c r="K25" s="18">
        <v>1546</v>
      </c>
      <c r="L25" s="281">
        <f>+L10-L4-L11</f>
        <v>999584.29816138744</v>
      </c>
      <c r="M25" s="281"/>
      <c r="N25" s="281"/>
      <c r="O25" s="281"/>
      <c r="P25" s="281"/>
      <c r="Q25" s="237" t="s">
        <v>1</v>
      </c>
      <c r="U25" s="238">
        <f>+L25</f>
        <v>999584.29816138744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9"/>
  <sheetViews>
    <sheetView workbookViewId="0">
      <selection activeCell="F32" sqref="F32"/>
    </sheetView>
  </sheetViews>
  <sheetFormatPr baseColWidth="10" defaultRowHeight="15"/>
  <cols>
    <col min="2" max="2" width="40.42578125" bestFit="1" customWidth="1"/>
    <col min="3" max="4" width="12.7109375" bestFit="1" customWidth="1"/>
    <col min="7" max="7" width="11.85546875" bestFit="1" customWidth="1"/>
  </cols>
  <sheetData>
    <row r="1" spans="1:12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2">
      <c r="A2" s="327" t="s">
        <v>187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2">
      <c r="A3" s="327" t="s">
        <v>102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2">
      <c r="A4" s="243"/>
      <c r="B4" s="243"/>
      <c r="C4" s="243"/>
      <c r="D4" s="243"/>
      <c r="E4" s="243" t="s">
        <v>103</v>
      </c>
      <c r="F4" s="243"/>
      <c r="G4" s="243" t="s">
        <v>104</v>
      </c>
      <c r="H4" s="243"/>
      <c r="I4" s="243" t="s">
        <v>105</v>
      </c>
      <c r="J4" s="243"/>
    </row>
    <row r="5" spans="1:12">
      <c r="A5" s="243" t="s">
        <v>106</v>
      </c>
      <c r="B5" s="243" t="s">
        <v>107</v>
      </c>
      <c r="C5" s="243" t="s">
        <v>108</v>
      </c>
      <c r="D5" s="243" t="s">
        <v>109</v>
      </c>
      <c r="E5" s="243" t="s">
        <v>110</v>
      </c>
      <c r="F5" s="243" t="s">
        <v>111</v>
      </c>
      <c r="G5" s="243" t="s">
        <v>112</v>
      </c>
      <c r="H5" s="243" t="s">
        <v>113</v>
      </c>
      <c r="I5" s="243" t="s">
        <v>114</v>
      </c>
      <c r="J5" s="243" t="s">
        <v>115</v>
      </c>
    </row>
    <row r="6" spans="1:12">
      <c r="A6" s="245">
        <v>101001</v>
      </c>
      <c r="B6" s="245" t="s">
        <v>116</v>
      </c>
      <c r="C6" s="246">
        <f>+'BALANCE AÑO 2021'!G6+102000000+147890+60000</f>
        <v>102326470</v>
      </c>
      <c r="D6" s="246">
        <f>58462704+40000000+60000+1478000+1000000</f>
        <v>101000704</v>
      </c>
      <c r="E6" s="239">
        <f>+IF(C6-D6&gt;0,C6-D6,0)</f>
        <v>1325766</v>
      </c>
      <c r="F6" s="239">
        <f>IF((D6-C6)&gt;0,D6-C6,0)</f>
        <v>0</v>
      </c>
      <c r="G6" s="239">
        <f t="shared" ref="G6:H6" si="0">IF(E6&gt;0,E6,0)</f>
        <v>1325766</v>
      </c>
      <c r="H6" s="239">
        <f t="shared" si="0"/>
        <v>0</v>
      </c>
      <c r="I6" s="240">
        <v>0</v>
      </c>
      <c r="J6" s="240">
        <v>0</v>
      </c>
    </row>
    <row r="7" spans="1:12">
      <c r="A7" s="245">
        <v>104001</v>
      </c>
      <c r="B7" s="245" t="s">
        <v>147</v>
      </c>
      <c r="C7" s="246">
        <f>+D28*1.19</f>
        <v>214200000</v>
      </c>
      <c r="D7" s="246">
        <f>112000000+6000000</f>
        <v>118000000</v>
      </c>
      <c r="E7" s="239">
        <f t="shared" ref="E7:E28" si="1">+IF(C7-D7&gt;0,C7-D7,0)</f>
        <v>96200000</v>
      </c>
      <c r="F7" s="239">
        <f t="shared" ref="F7:F28" si="2">IF((D7-C7)&gt;0,D7-C7,0)</f>
        <v>0</v>
      </c>
      <c r="G7" s="239">
        <f t="shared" ref="G7:G27" si="3">IF(E7&gt;0,E7,0)</f>
        <v>96200000</v>
      </c>
      <c r="H7" s="239">
        <f t="shared" ref="H7:H27" si="4">IF(F7&gt;0,F7,0)</f>
        <v>0</v>
      </c>
      <c r="I7" s="240">
        <v>0</v>
      </c>
      <c r="J7" s="240">
        <v>0</v>
      </c>
      <c r="K7" t="s">
        <v>258</v>
      </c>
    </row>
    <row r="8" spans="1:12">
      <c r="A8" s="245">
        <v>110005</v>
      </c>
      <c r="B8" s="245" t="s">
        <v>148</v>
      </c>
      <c r="C8" s="246">
        <f>+'BALANCE AÑO 2021'!G9+1478000</f>
        <v>3077193</v>
      </c>
      <c r="D8" s="246">
        <v>1599193</v>
      </c>
      <c r="E8" s="239">
        <f t="shared" si="1"/>
        <v>1478000</v>
      </c>
      <c r="F8" s="239">
        <f t="shared" si="2"/>
        <v>0</v>
      </c>
      <c r="G8" s="239">
        <f t="shared" si="3"/>
        <v>1478000</v>
      </c>
      <c r="H8" s="239">
        <f t="shared" si="4"/>
        <v>0</v>
      </c>
      <c r="I8" s="240">
        <v>0</v>
      </c>
      <c r="J8" s="240">
        <v>0</v>
      </c>
    </row>
    <row r="9" spans="1:12">
      <c r="A9" s="245">
        <v>113001</v>
      </c>
      <c r="B9" s="245" t="s">
        <v>149</v>
      </c>
      <c r="C9" s="246">
        <f>+'BALANCE AÑO 2021'!G10+D28*1%+148</f>
        <v>3284097</v>
      </c>
      <c r="D9" s="246">
        <f>+'BALANCE AÑO 2021'!G10</f>
        <v>1483949</v>
      </c>
      <c r="E9" s="239">
        <f t="shared" si="1"/>
        <v>1800148</v>
      </c>
      <c r="F9" s="239">
        <f t="shared" si="2"/>
        <v>0</v>
      </c>
      <c r="G9" s="239">
        <f t="shared" si="3"/>
        <v>1800148</v>
      </c>
      <c r="H9" s="239">
        <f t="shared" si="4"/>
        <v>0</v>
      </c>
      <c r="I9" s="240">
        <v>0</v>
      </c>
      <c r="J9" s="240">
        <v>0</v>
      </c>
    </row>
    <row r="10" spans="1:12">
      <c r="A10" s="245">
        <v>113002</v>
      </c>
      <c r="B10" s="245" t="s">
        <v>117</v>
      </c>
      <c r="C10" s="246">
        <f>50000000*19%</f>
        <v>9500000</v>
      </c>
      <c r="D10" s="246">
        <f>+C10</f>
        <v>9500000</v>
      </c>
      <c r="E10" s="239">
        <f t="shared" si="1"/>
        <v>0</v>
      </c>
      <c r="F10" s="239">
        <f t="shared" si="2"/>
        <v>0</v>
      </c>
      <c r="G10" s="239">
        <f t="shared" si="3"/>
        <v>0</v>
      </c>
      <c r="H10" s="239">
        <f t="shared" si="4"/>
        <v>0</v>
      </c>
      <c r="I10" s="240">
        <v>0</v>
      </c>
      <c r="J10" s="240">
        <v>0</v>
      </c>
    </row>
    <row r="11" spans="1:12">
      <c r="A11" s="245">
        <v>113010</v>
      </c>
      <c r="B11" s="245" t="s">
        <v>139</v>
      </c>
      <c r="C11" s="246">
        <f>+'BALANCE AÑO 2021'!G13</f>
        <v>2221335</v>
      </c>
      <c r="D11" s="246">
        <f>+'BALANCE AÑO 2021'!H13</f>
        <v>0</v>
      </c>
      <c r="E11" s="239">
        <f t="shared" si="1"/>
        <v>2221335</v>
      </c>
      <c r="F11" s="239">
        <f t="shared" si="2"/>
        <v>0</v>
      </c>
      <c r="G11" s="239">
        <f t="shared" si="3"/>
        <v>2221335</v>
      </c>
      <c r="H11" s="239">
        <f t="shared" si="4"/>
        <v>0</v>
      </c>
      <c r="I11" s="240">
        <v>0</v>
      </c>
      <c r="J11" s="240">
        <v>0</v>
      </c>
    </row>
    <row r="12" spans="1:12">
      <c r="A12" s="245">
        <v>129004</v>
      </c>
      <c r="B12" s="245" t="s">
        <v>140</v>
      </c>
      <c r="C12" s="246">
        <f>+'BALANCE AÑO 2021'!G14</f>
        <v>12897482</v>
      </c>
      <c r="D12" s="246">
        <f>+'BALANCE AÑO 2021'!H14</f>
        <v>0</v>
      </c>
      <c r="E12" s="239">
        <f t="shared" si="1"/>
        <v>12897482</v>
      </c>
      <c r="F12" s="239">
        <f t="shared" si="2"/>
        <v>0</v>
      </c>
      <c r="G12" s="239">
        <f t="shared" si="3"/>
        <v>12897482</v>
      </c>
      <c r="H12" s="239">
        <f t="shared" si="4"/>
        <v>0</v>
      </c>
      <c r="I12" s="240">
        <v>0</v>
      </c>
      <c r="J12" s="240">
        <v>0</v>
      </c>
    </row>
    <row r="13" spans="1:12">
      <c r="A13" s="245">
        <v>129008</v>
      </c>
      <c r="B13" s="245" t="s">
        <v>151</v>
      </c>
      <c r="C13" s="246">
        <f>+'BALANCE AÑO 2021'!G15+14090158</f>
        <v>59872972</v>
      </c>
      <c r="D13" s="246">
        <f>+'BALANCE AÑO 2021'!H15</f>
        <v>0</v>
      </c>
      <c r="E13" s="239">
        <f t="shared" si="1"/>
        <v>59872972</v>
      </c>
      <c r="F13" s="239">
        <f t="shared" si="2"/>
        <v>0</v>
      </c>
      <c r="G13" s="239">
        <f t="shared" si="3"/>
        <v>59872972</v>
      </c>
      <c r="H13" s="239">
        <f t="shared" si="4"/>
        <v>0</v>
      </c>
      <c r="I13" s="240">
        <v>0</v>
      </c>
      <c r="J13" s="240">
        <v>0</v>
      </c>
    </row>
    <row r="14" spans="1:12">
      <c r="A14" s="245">
        <v>129009</v>
      </c>
      <c r="B14" s="245" t="s">
        <v>152</v>
      </c>
      <c r="C14" s="246">
        <f>+'BALANCE AÑO 2021'!G16</f>
        <v>17264440</v>
      </c>
      <c r="D14" s="246">
        <f>+C16+14090158</f>
        <v>17264440</v>
      </c>
      <c r="E14" s="239">
        <f t="shared" si="1"/>
        <v>0</v>
      </c>
      <c r="F14" s="239">
        <f t="shared" si="2"/>
        <v>0</v>
      </c>
      <c r="G14" s="239">
        <f t="shared" si="3"/>
        <v>0</v>
      </c>
      <c r="H14" s="239">
        <f t="shared" si="4"/>
        <v>0</v>
      </c>
      <c r="I14" s="240">
        <v>0</v>
      </c>
      <c r="J14" s="240">
        <v>0</v>
      </c>
    </row>
    <row r="15" spans="1:12">
      <c r="A15" s="245">
        <v>129016</v>
      </c>
      <c r="B15" s="245" t="s">
        <v>141</v>
      </c>
      <c r="C15" s="246">
        <f>+'BALANCE AÑO 2021'!G17</f>
        <v>0</v>
      </c>
      <c r="D15" s="246">
        <f>+'BALANCE AÑO 2021'!H17+5000000</f>
        <v>23554848</v>
      </c>
      <c r="E15" s="239">
        <f t="shared" si="1"/>
        <v>0</v>
      </c>
      <c r="F15" s="239">
        <f t="shared" si="2"/>
        <v>23554848</v>
      </c>
      <c r="G15" s="239">
        <f t="shared" si="3"/>
        <v>0</v>
      </c>
      <c r="H15" s="239">
        <f t="shared" si="4"/>
        <v>23554848</v>
      </c>
      <c r="I15" s="240">
        <v>0</v>
      </c>
      <c r="J15" s="240">
        <v>0</v>
      </c>
    </row>
    <row r="16" spans="1:12">
      <c r="A16" s="245">
        <v>129017</v>
      </c>
      <c r="B16" s="245" t="s">
        <v>188</v>
      </c>
      <c r="C16" s="246">
        <v>3174282</v>
      </c>
      <c r="D16" s="246">
        <f>+'BALANCE AÑO 2021'!H18</f>
        <v>3174282</v>
      </c>
      <c r="E16" s="239">
        <f t="shared" si="1"/>
        <v>0</v>
      </c>
      <c r="F16" s="239">
        <f t="shared" si="2"/>
        <v>0</v>
      </c>
      <c r="G16" s="239">
        <f t="shared" si="3"/>
        <v>0</v>
      </c>
      <c r="H16" s="239">
        <f t="shared" si="4"/>
        <v>0</v>
      </c>
      <c r="I16" s="240">
        <v>0</v>
      </c>
      <c r="J16" s="240">
        <v>0</v>
      </c>
      <c r="L16" s="1"/>
    </row>
    <row r="17" spans="1:11">
      <c r="A17" s="245">
        <v>202001</v>
      </c>
      <c r="B17" s="245" t="s">
        <v>136</v>
      </c>
      <c r="C17" s="246">
        <f>54475796+40000000</f>
        <v>94475796</v>
      </c>
      <c r="D17" s="246">
        <f>+'BALANCE AÑO 2021'!H20+50000000*1.19</f>
        <v>113975796</v>
      </c>
      <c r="E17" s="239">
        <f t="shared" si="1"/>
        <v>0</v>
      </c>
      <c r="F17" s="239">
        <f t="shared" si="2"/>
        <v>19500000</v>
      </c>
      <c r="G17" s="239">
        <f t="shared" si="3"/>
        <v>0</v>
      </c>
      <c r="H17" s="239">
        <f t="shared" si="4"/>
        <v>19500000</v>
      </c>
      <c r="I17" s="240">
        <v>0</v>
      </c>
      <c r="J17" s="240">
        <v>0</v>
      </c>
      <c r="K17" t="s">
        <v>257</v>
      </c>
    </row>
    <row r="18" spans="1:11">
      <c r="A18" s="245">
        <v>202003</v>
      </c>
      <c r="B18" s="245" t="s">
        <v>155</v>
      </c>
      <c r="C18" s="246">
        <v>1192286</v>
      </c>
      <c r="D18" s="246">
        <f>+'BALANCE AÑO 2021'!H22+500000</f>
        <v>1692286</v>
      </c>
      <c r="E18" s="239">
        <f t="shared" si="1"/>
        <v>0</v>
      </c>
      <c r="F18" s="239">
        <f t="shared" si="2"/>
        <v>500000</v>
      </c>
      <c r="G18" s="239">
        <f t="shared" si="3"/>
        <v>0</v>
      </c>
      <c r="H18" s="239">
        <f t="shared" si="4"/>
        <v>500000</v>
      </c>
      <c r="I18" s="240">
        <v>0</v>
      </c>
      <c r="J18" s="240">
        <v>0</v>
      </c>
    </row>
    <row r="19" spans="1:11">
      <c r="A19" s="245">
        <v>202007</v>
      </c>
      <c r="B19" s="245" t="s">
        <v>157</v>
      </c>
      <c r="C19" s="246">
        <v>1325443</v>
      </c>
      <c r="D19" s="246">
        <f>+'BALANCE AÑO 2021'!H24+147890+9500000</f>
        <v>9973333</v>
      </c>
      <c r="E19" s="239">
        <f t="shared" si="1"/>
        <v>0</v>
      </c>
      <c r="F19" s="239">
        <f t="shared" si="2"/>
        <v>8647890</v>
      </c>
      <c r="G19" s="239">
        <f t="shared" si="3"/>
        <v>0</v>
      </c>
      <c r="H19" s="239">
        <f t="shared" si="4"/>
        <v>8647890</v>
      </c>
      <c r="I19" s="240">
        <v>0</v>
      </c>
      <c r="J19" s="240">
        <v>0</v>
      </c>
    </row>
    <row r="20" spans="1:11">
      <c r="A20" s="245">
        <v>203001</v>
      </c>
      <c r="B20" s="245" t="s">
        <v>158</v>
      </c>
      <c r="C20" s="246">
        <f>+'BALANCE AÑO 2021'!G25</f>
        <v>0</v>
      </c>
      <c r="D20" s="246">
        <f>+'BALANCE AÑO 2021'!H25</f>
        <v>14004000</v>
      </c>
      <c r="E20" s="239">
        <f t="shared" si="1"/>
        <v>0</v>
      </c>
      <c r="F20" s="239">
        <f t="shared" si="2"/>
        <v>14004000</v>
      </c>
      <c r="G20" s="239">
        <f t="shared" si="3"/>
        <v>0</v>
      </c>
      <c r="H20" s="239">
        <f t="shared" si="4"/>
        <v>14004000</v>
      </c>
      <c r="I20" s="240">
        <v>0</v>
      </c>
      <c r="J20" s="240">
        <v>0</v>
      </c>
    </row>
    <row r="21" spans="1:11">
      <c r="A21" s="245">
        <v>205001</v>
      </c>
      <c r="B21" s="245" t="s">
        <v>160</v>
      </c>
      <c r="C21" s="246">
        <v>19000000</v>
      </c>
      <c r="D21" s="246">
        <v>19000000</v>
      </c>
      <c r="E21" s="239">
        <f t="shared" si="1"/>
        <v>0</v>
      </c>
      <c r="F21" s="239">
        <f t="shared" si="2"/>
        <v>0</v>
      </c>
      <c r="G21" s="239">
        <f t="shared" si="3"/>
        <v>0</v>
      </c>
      <c r="H21" s="239">
        <f t="shared" si="4"/>
        <v>0</v>
      </c>
      <c r="I21" s="240">
        <v>0</v>
      </c>
      <c r="J21" s="240">
        <v>0</v>
      </c>
    </row>
    <row r="22" spans="1:11">
      <c r="A22" s="245">
        <v>205003</v>
      </c>
      <c r="B22" s="245" t="s">
        <v>161</v>
      </c>
      <c r="C22" s="246">
        <f>+'BALANCE AÑO 2021'!G28</f>
        <v>0</v>
      </c>
      <c r="D22" s="246">
        <v>60000</v>
      </c>
      <c r="E22" s="239">
        <f t="shared" si="1"/>
        <v>0</v>
      </c>
      <c r="F22" s="239">
        <f t="shared" si="2"/>
        <v>60000</v>
      </c>
      <c r="G22" s="239">
        <f t="shared" si="3"/>
        <v>0</v>
      </c>
      <c r="H22" s="239">
        <f t="shared" si="4"/>
        <v>60000</v>
      </c>
      <c r="I22" s="240">
        <v>0</v>
      </c>
      <c r="J22" s="240">
        <v>0</v>
      </c>
    </row>
    <row r="23" spans="1:11">
      <c r="A23" s="245">
        <v>220002</v>
      </c>
      <c r="B23" s="245" t="s">
        <v>162</v>
      </c>
      <c r="C23" s="246">
        <f>+'BALANCE AÑO 2021'!G29</f>
        <v>0</v>
      </c>
      <c r="D23" s="246">
        <f>+'BALANCE AÑO 2021'!H29</f>
        <v>5000000</v>
      </c>
      <c r="E23" s="239">
        <f t="shared" si="1"/>
        <v>0</v>
      </c>
      <c r="F23" s="239">
        <f t="shared" si="2"/>
        <v>5000000</v>
      </c>
      <c r="G23" s="239">
        <f t="shared" si="3"/>
        <v>0</v>
      </c>
      <c r="H23" s="239">
        <f t="shared" si="4"/>
        <v>5000000</v>
      </c>
      <c r="I23" s="240">
        <v>0</v>
      </c>
      <c r="J23" s="240">
        <v>0</v>
      </c>
    </row>
    <row r="24" spans="1:11">
      <c r="A24" s="245">
        <v>301001</v>
      </c>
      <c r="B24" s="245" t="s">
        <v>118</v>
      </c>
      <c r="C24" s="246">
        <f>+'BALANCE AÑO 2021'!G30</f>
        <v>0</v>
      </c>
      <c r="D24" s="246">
        <f>+'BALANCE AÑO 2021'!H30</f>
        <v>2000000</v>
      </c>
      <c r="E24" s="239">
        <f t="shared" si="1"/>
        <v>0</v>
      </c>
      <c r="F24" s="239">
        <f t="shared" si="2"/>
        <v>2000000</v>
      </c>
      <c r="G24" s="239">
        <f t="shared" si="3"/>
        <v>0</v>
      </c>
      <c r="H24" s="239">
        <f t="shared" si="4"/>
        <v>2000000</v>
      </c>
      <c r="I24" s="240">
        <v>0</v>
      </c>
      <c r="J24" s="240">
        <v>0</v>
      </c>
    </row>
    <row r="25" spans="1:11">
      <c r="A25" s="245">
        <v>302001</v>
      </c>
      <c r="B25" s="245" t="s">
        <v>163</v>
      </c>
      <c r="C25" s="246">
        <f>+D26</f>
        <v>29583800</v>
      </c>
      <c r="D25" s="246">
        <f>+C27</f>
        <v>9271810</v>
      </c>
      <c r="E25" s="239">
        <f t="shared" si="1"/>
        <v>20311990</v>
      </c>
      <c r="F25" s="239">
        <f t="shared" si="2"/>
        <v>0</v>
      </c>
      <c r="G25" s="239">
        <f t="shared" si="3"/>
        <v>20311990</v>
      </c>
      <c r="H25" s="239">
        <f t="shared" si="4"/>
        <v>0</v>
      </c>
      <c r="I25" s="240">
        <v>0</v>
      </c>
      <c r="J25" s="240">
        <v>0</v>
      </c>
    </row>
    <row r="26" spans="1:11">
      <c r="A26" s="245">
        <v>302002</v>
      </c>
      <c r="B26" s="245" t="s">
        <v>137</v>
      </c>
      <c r="C26" s="246">
        <f>+'BALANCE AÑO 2021'!J63</f>
        <v>29583800</v>
      </c>
      <c r="D26" s="246">
        <f>+C26</f>
        <v>29583800</v>
      </c>
      <c r="E26" s="239">
        <f t="shared" si="1"/>
        <v>0</v>
      </c>
      <c r="F26" s="239">
        <f t="shared" si="2"/>
        <v>0</v>
      </c>
      <c r="G26" s="239">
        <f t="shared" si="3"/>
        <v>0</v>
      </c>
      <c r="H26" s="239">
        <f t="shared" si="4"/>
        <v>0</v>
      </c>
      <c r="I26" s="240">
        <v>0</v>
      </c>
      <c r="J26" s="240">
        <v>0</v>
      </c>
    </row>
    <row r="27" spans="1:11">
      <c r="A27" s="245">
        <v>302003</v>
      </c>
      <c r="B27" s="245" t="s">
        <v>138</v>
      </c>
      <c r="C27" s="246">
        <f>+D27</f>
        <v>9271810</v>
      </c>
      <c r="D27" s="246">
        <f>+'BALANCE AÑO 2021'!H33</f>
        <v>9271810</v>
      </c>
      <c r="E27" s="239">
        <f t="shared" si="1"/>
        <v>0</v>
      </c>
      <c r="F27" s="239">
        <f t="shared" si="2"/>
        <v>0</v>
      </c>
      <c r="G27" s="239">
        <f t="shared" si="3"/>
        <v>0</v>
      </c>
      <c r="H27" s="239">
        <f t="shared" si="4"/>
        <v>0</v>
      </c>
      <c r="I27" s="240">
        <v>0</v>
      </c>
      <c r="J27" s="240">
        <v>0</v>
      </c>
    </row>
    <row r="28" spans="1:11">
      <c r="A28" s="245">
        <v>501001</v>
      </c>
      <c r="B28" s="245" t="s">
        <v>164</v>
      </c>
      <c r="C28" s="246"/>
      <c r="D28" s="246">
        <v>180000000</v>
      </c>
      <c r="E28" s="246">
        <f t="shared" si="1"/>
        <v>0</v>
      </c>
      <c r="F28" s="246">
        <f t="shared" si="2"/>
        <v>180000000</v>
      </c>
      <c r="G28" s="246"/>
      <c r="H28" s="246"/>
      <c r="I28" s="246">
        <f t="shared" ref="I28:J28" si="5">IF(E28&gt;0,E28,0)</f>
        <v>0</v>
      </c>
      <c r="J28" s="246">
        <f t="shared" si="5"/>
        <v>180000000</v>
      </c>
      <c r="K28" t="s">
        <v>256</v>
      </c>
    </row>
    <row r="29" spans="1:11">
      <c r="A29" s="245">
        <v>503002</v>
      </c>
      <c r="B29" s="245" t="s">
        <v>165</v>
      </c>
      <c r="C29" s="246"/>
      <c r="D29" s="246">
        <v>148</v>
      </c>
      <c r="E29" s="246">
        <f t="shared" ref="E29:E33" si="6">+IF(C29-D29&gt;0,C29-D29,0)</f>
        <v>0</v>
      </c>
      <c r="F29" s="246">
        <f t="shared" ref="F29:F33" si="7">IF((D29-C29)&gt;0,D29-C29,0)</f>
        <v>148</v>
      </c>
      <c r="G29" s="246"/>
      <c r="H29" s="246"/>
      <c r="I29" s="246">
        <f t="shared" ref="I29:I33" si="8">IF(E29&gt;0,E29,0)</f>
        <v>0</v>
      </c>
      <c r="J29" s="246">
        <f t="shared" ref="J29:J33" si="9">IF(F29&gt;0,F29,0)</f>
        <v>148</v>
      </c>
    </row>
    <row r="30" spans="1:11">
      <c r="A30" s="245">
        <v>412006</v>
      </c>
      <c r="B30" s="245" t="s">
        <v>61</v>
      </c>
      <c r="C30" s="246">
        <f>500000*1.12</f>
        <v>560000</v>
      </c>
      <c r="D30" s="246"/>
      <c r="E30" s="246">
        <f t="shared" ref="E30" si="10">+IF(C30-D30&gt;0,C30-D30,0)</f>
        <v>560000</v>
      </c>
      <c r="F30" s="246">
        <f t="shared" ref="F30" si="11">IF((D30-C30)&gt;0,D30-C30,0)</f>
        <v>0</v>
      </c>
      <c r="G30" s="246"/>
      <c r="H30" s="246"/>
      <c r="I30" s="246">
        <f t="shared" ref="I30" si="12">IF(E30&gt;0,E30,0)</f>
        <v>560000</v>
      </c>
      <c r="J30" s="246">
        <f t="shared" ref="J30" si="13">IF(F30&gt;0,F30,0)</f>
        <v>0</v>
      </c>
    </row>
    <row r="31" spans="1:11">
      <c r="A31" s="245">
        <v>422003</v>
      </c>
      <c r="B31" s="245" t="s">
        <v>143</v>
      </c>
      <c r="C31" s="246">
        <f>+D8+50000000</f>
        <v>51599193</v>
      </c>
      <c r="D31" s="246"/>
      <c r="E31" s="246">
        <f t="shared" si="6"/>
        <v>51599193</v>
      </c>
      <c r="F31" s="246">
        <f t="shared" si="7"/>
        <v>0</v>
      </c>
      <c r="G31" s="246"/>
      <c r="H31" s="246"/>
      <c r="I31" s="246">
        <f t="shared" si="8"/>
        <v>51599193</v>
      </c>
      <c r="J31" s="246">
        <f t="shared" si="9"/>
        <v>0</v>
      </c>
    </row>
    <row r="32" spans="1:11">
      <c r="A32" s="245">
        <v>425001</v>
      </c>
      <c r="B32" s="245" t="s">
        <v>144</v>
      </c>
      <c r="C32" s="246">
        <v>5000000</v>
      </c>
      <c r="D32" s="246"/>
      <c r="E32" s="246">
        <f t="shared" si="6"/>
        <v>5000000</v>
      </c>
      <c r="F32" s="246">
        <f t="shared" si="7"/>
        <v>0</v>
      </c>
      <c r="G32" s="246"/>
      <c r="H32" s="246"/>
      <c r="I32" s="246">
        <f t="shared" si="8"/>
        <v>5000000</v>
      </c>
      <c r="J32" s="246">
        <f t="shared" si="9"/>
        <v>0</v>
      </c>
    </row>
    <row r="33" spans="1:10">
      <c r="A33" s="245">
        <v>428004</v>
      </c>
      <c r="B33" s="245" t="s">
        <v>185</v>
      </c>
      <c r="C33" s="246"/>
      <c r="D33" s="246"/>
      <c r="E33" s="246">
        <f t="shared" si="6"/>
        <v>0</v>
      </c>
      <c r="F33" s="246">
        <f t="shared" si="7"/>
        <v>0</v>
      </c>
      <c r="G33" s="246"/>
      <c r="H33" s="246"/>
      <c r="I33" s="246">
        <f t="shared" si="8"/>
        <v>0</v>
      </c>
      <c r="J33" s="246">
        <f t="shared" si="9"/>
        <v>0</v>
      </c>
    </row>
    <row r="34" spans="1:10">
      <c r="A34" s="245"/>
      <c r="B34" s="245" t="s">
        <v>119</v>
      </c>
      <c r="C34" s="246">
        <f t="shared" ref="C34:J34" si="14">SUM(C6:C33)</f>
        <v>669410399</v>
      </c>
      <c r="D34" s="246">
        <f t="shared" si="14"/>
        <v>669410399</v>
      </c>
      <c r="E34" s="246">
        <f t="shared" si="14"/>
        <v>253266886</v>
      </c>
      <c r="F34" s="246">
        <f t="shared" si="14"/>
        <v>253266886</v>
      </c>
      <c r="G34" s="246">
        <f t="shared" si="14"/>
        <v>196107693</v>
      </c>
      <c r="H34" s="246">
        <f t="shared" si="14"/>
        <v>73266738</v>
      </c>
      <c r="I34" s="246">
        <f t="shared" si="14"/>
        <v>57159193</v>
      </c>
      <c r="J34" s="246">
        <f t="shared" si="14"/>
        <v>180000148</v>
      </c>
    </row>
    <row r="35" spans="1:10">
      <c r="A35" s="245"/>
      <c r="B35" s="245" t="s">
        <v>145</v>
      </c>
      <c r="C35" s="245"/>
      <c r="D35" s="245"/>
      <c r="E35" s="245"/>
      <c r="F35" s="245"/>
      <c r="G35" s="246"/>
      <c r="H35" s="246">
        <f>+G34-H34</f>
        <v>122840955</v>
      </c>
      <c r="I35" s="246">
        <f>+J34-I34</f>
        <v>122840955</v>
      </c>
      <c r="J35" s="246"/>
    </row>
    <row r="36" spans="1:10">
      <c r="A36" s="245"/>
      <c r="B36" s="245" t="s">
        <v>120</v>
      </c>
      <c r="C36" s="246">
        <f>+C34+C35</f>
        <v>669410399</v>
      </c>
      <c r="D36" s="246">
        <f t="shared" ref="D36:J36" si="15">+D34+D35</f>
        <v>669410399</v>
      </c>
      <c r="E36" s="246">
        <f t="shared" si="15"/>
        <v>253266886</v>
      </c>
      <c r="F36" s="246">
        <f t="shared" si="15"/>
        <v>253266886</v>
      </c>
      <c r="G36" s="246">
        <f t="shared" si="15"/>
        <v>196107693</v>
      </c>
      <c r="H36" s="246">
        <f t="shared" si="15"/>
        <v>196107693</v>
      </c>
      <c r="I36" s="246">
        <f t="shared" si="15"/>
        <v>180000148</v>
      </c>
      <c r="J36" s="246">
        <f t="shared" si="15"/>
        <v>180000148</v>
      </c>
    </row>
    <row r="37" spans="1:10">
      <c r="A37" s="243"/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>
      <c r="A38" s="243"/>
      <c r="B38" s="243"/>
      <c r="C38" s="243"/>
      <c r="D38" s="244"/>
      <c r="E38" s="243"/>
      <c r="F38" s="243"/>
      <c r="G38" s="243"/>
      <c r="H38" s="243"/>
      <c r="I38" s="243"/>
      <c r="J38" s="243"/>
    </row>
    <row r="39" spans="1:10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</sheetData>
  <mergeCells count="2">
    <mergeCell ref="A2:J2"/>
    <mergeCell ref="A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87"/>
  <sheetViews>
    <sheetView showGridLines="0" topLeftCell="A52" zoomScale="96" zoomScaleNormal="96" workbookViewId="0">
      <selection activeCell="G70" sqref="G70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5.5703125" style="129" bestFit="1" customWidth="1"/>
    <col min="5" max="6" width="17.140625" style="87" customWidth="1"/>
    <col min="7" max="7" width="17.85546875" style="87" customWidth="1"/>
    <col min="8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7" ht="15.75" thickBot="1">
      <c r="A1" s="4"/>
    </row>
    <row r="2" spans="1:7" ht="22.5" customHeight="1">
      <c r="A2" s="6"/>
      <c r="B2" s="74" t="s">
        <v>95</v>
      </c>
      <c r="C2" s="75"/>
      <c r="D2" s="130" t="s">
        <v>54</v>
      </c>
      <c r="E2" s="76" t="s">
        <v>54</v>
      </c>
      <c r="F2" s="76" t="s">
        <v>54</v>
      </c>
      <c r="G2" s="77" t="s">
        <v>54</v>
      </c>
    </row>
    <row r="3" spans="1:7" ht="22.5" customHeight="1">
      <c r="A3" s="6"/>
      <c r="B3" s="78"/>
      <c r="C3" s="43"/>
      <c r="D3" s="131" t="s">
        <v>83</v>
      </c>
      <c r="E3" s="44" t="s">
        <v>91</v>
      </c>
      <c r="F3" s="44" t="s">
        <v>93</v>
      </c>
      <c r="G3" s="79" t="s">
        <v>55</v>
      </c>
    </row>
    <row r="4" spans="1:7" ht="22.5" customHeight="1" thickBot="1">
      <c r="A4" s="6"/>
      <c r="B4" s="78"/>
      <c r="C4" s="43"/>
      <c r="D4" s="131" t="s">
        <v>84</v>
      </c>
      <c r="E4" s="44" t="s">
        <v>90</v>
      </c>
      <c r="F4" s="44" t="s">
        <v>92</v>
      </c>
      <c r="G4" s="79"/>
    </row>
    <row r="5" spans="1:7">
      <c r="A5" s="6"/>
      <c r="B5" s="49" t="s">
        <v>56</v>
      </c>
      <c r="C5" s="117" t="s">
        <v>1</v>
      </c>
      <c r="D5" s="132">
        <f>SUM(D6:D8)</f>
        <v>125999999.99999999</v>
      </c>
      <c r="E5" s="117">
        <f>SUM(E6:E8)</f>
        <v>64672268.907563031</v>
      </c>
      <c r="F5" s="24">
        <f>SUM(F6:F8)</f>
        <v>0</v>
      </c>
      <c r="G5" s="125">
        <f>SUM(G6:G8)</f>
        <v>61327731.092436954</v>
      </c>
    </row>
    <row r="6" spans="1:7">
      <c r="A6" s="6"/>
      <c r="B6" s="50" t="s">
        <v>96</v>
      </c>
      <c r="C6" s="9" t="s">
        <v>0</v>
      </c>
      <c r="D6" s="133">
        <f>+'BALANCE AÑO 2022'!J28*70%</f>
        <v>125999999.99999999</v>
      </c>
      <c r="E6" s="29">
        <f>(+'BALANCE AÑO 2022'!G7*80%)/1.19</f>
        <v>64672268.907563031</v>
      </c>
      <c r="F6" s="119"/>
      <c r="G6" s="126">
        <f>+D6-E6+F6</f>
        <v>61327731.092436954</v>
      </c>
    </row>
    <row r="7" spans="1:7">
      <c r="A7" s="6"/>
      <c r="B7" s="50" t="s">
        <v>97</v>
      </c>
      <c r="C7" s="9" t="s">
        <v>0</v>
      </c>
      <c r="D7" s="133"/>
      <c r="E7" s="29"/>
      <c r="F7" s="119"/>
      <c r="G7" s="126">
        <f t="shared" ref="G7:G13" si="0">+D7-E7+F7</f>
        <v>0</v>
      </c>
    </row>
    <row r="8" spans="1:7" ht="15.75" thickBot="1">
      <c r="A8" s="6"/>
      <c r="B8" s="51" t="s">
        <v>101</v>
      </c>
      <c r="C8" s="12" t="s">
        <v>0</v>
      </c>
      <c r="D8" s="134"/>
      <c r="E8" s="105"/>
      <c r="F8" s="120"/>
      <c r="G8" s="126">
        <f t="shared" si="0"/>
        <v>0</v>
      </c>
    </row>
    <row r="9" spans="1:7">
      <c r="A9" s="6"/>
      <c r="B9" s="80" t="s">
        <v>17</v>
      </c>
      <c r="C9" s="14" t="s">
        <v>0</v>
      </c>
      <c r="D9" s="135"/>
      <c r="E9" s="106"/>
      <c r="F9" s="121"/>
      <c r="G9" s="127"/>
    </row>
    <row r="10" spans="1:7">
      <c r="A10" s="6"/>
      <c r="B10" s="59" t="s">
        <v>18</v>
      </c>
      <c r="C10" s="9" t="s">
        <v>0</v>
      </c>
      <c r="D10" s="133"/>
      <c r="E10" s="107"/>
      <c r="F10" s="122"/>
      <c r="G10" s="126">
        <f t="shared" si="0"/>
        <v>0</v>
      </c>
    </row>
    <row r="11" spans="1:7" ht="15" customHeight="1" thickBot="1">
      <c r="A11" s="6"/>
      <c r="B11" s="60" t="s">
        <v>19</v>
      </c>
      <c r="C11" s="13" t="s">
        <v>0</v>
      </c>
      <c r="D11" s="133"/>
      <c r="E11" s="108"/>
      <c r="F11" s="119"/>
      <c r="G11" s="126">
        <f t="shared" si="0"/>
        <v>0</v>
      </c>
    </row>
    <row r="12" spans="1:7" ht="15" customHeight="1">
      <c r="A12" s="6"/>
      <c r="B12" s="52" t="s">
        <v>20</v>
      </c>
      <c r="C12" s="117" t="s">
        <v>1</v>
      </c>
      <c r="D12" s="132">
        <f>SUM(D13:D14)</f>
        <v>54000000</v>
      </c>
      <c r="E12" s="117">
        <f t="shared" ref="E12:G12" si="1">SUM(E13:E14)</f>
        <v>0</v>
      </c>
      <c r="F12" s="24">
        <f t="shared" si="1"/>
        <v>0</v>
      </c>
      <c r="G12" s="125">
        <f t="shared" si="1"/>
        <v>54000000</v>
      </c>
    </row>
    <row r="13" spans="1:7" ht="15" customHeight="1">
      <c r="A13" s="6"/>
      <c r="B13" s="50" t="s">
        <v>98</v>
      </c>
      <c r="C13" s="9" t="s">
        <v>0</v>
      </c>
      <c r="D13" s="133">
        <f>+'BALANCE AÑO 2022'!J28*30%</f>
        <v>54000000</v>
      </c>
      <c r="E13" s="29"/>
      <c r="F13" s="119"/>
      <c r="G13" s="126">
        <f t="shared" si="0"/>
        <v>54000000</v>
      </c>
    </row>
    <row r="14" spans="1:7" ht="15" customHeight="1" thickBot="1">
      <c r="A14" s="6"/>
      <c r="B14" s="51" t="s">
        <v>99</v>
      </c>
      <c r="C14" s="12" t="s">
        <v>0</v>
      </c>
      <c r="D14" s="134"/>
      <c r="E14" s="105"/>
      <c r="F14" s="120"/>
      <c r="G14" s="128"/>
    </row>
    <row r="15" spans="1:7">
      <c r="A15" s="6"/>
      <c r="B15" s="49" t="s">
        <v>2</v>
      </c>
      <c r="C15" s="53" t="s">
        <v>1</v>
      </c>
      <c r="D15" s="132">
        <f>SUM(D16:D26)</f>
        <v>148</v>
      </c>
      <c r="E15" s="117">
        <f t="shared" ref="E15:F15" si="2">SUM(E16:E26)</f>
        <v>0</v>
      </c>
      <c r="F15" s="24">
        <f t="shared" si="2"/>
        <v>0</v>
      </c>
      <c r="G15" s="125">
        <f>SUM(G16:G26)</f>
        <v>148</v>
      </c>
    </row>
    <row r="16" spans="1:7">
      <c r="A16" s="6"/>
      <c r="B16" s="81" t="s">
        <v>57</v>
      </c>
      <c r="C16" s="9" t="s">
        <v>0</v>
      </c>
      <c r="D16" s="136"/>
      <c r="E16" s="14"/>
      <c r="F16" s="118"/>
      <c r="G16" s="126">
        <f t="shared" ref="G16:G26" si="3">+D16-E16+F16</f>
        <v>0</v>
      </c>
    </row>
    <row r="17" spans="1:8">
      <c r="A17" s="6"/>
      <c r="B17" s="81" t="s">
        <v>100</v>
      </c>
      <c r="C17" s="9" t="s">
        <v>0</v>
      </c>
      <c r="D17" s="136"/>
      <c r="E17" s="14"/>
      <c r="F17" s="27"/>
      <c r="G17" s="126">
        <f t="shared" si="3"/>
        <v>0</v>
      </c>
    </row>
    <row r="18" spans="1:8">
      <c r="A18" s="6"/>
      <c r="B18" s="54" t="s">
        <v>85</v>
      </c>
      <c r="C18" s="9" t="s">
        <v>0</v>
      </c>
      <c r="D18" s="136"/>
      <c r="E18" s="27"/>
      <c r="F18" s="27"/>
      <c r="G18" s="126"/>
    </row>
    <row r="19" spans="1:8">
      <c r="A19" s="6"/>
      <c r="B19" s="67" t="s">
        <v>58</v>
      </c>
      <c r="C19" s="9" t="s">
        <v>0</v>
      </c>
      <c r="D19" s="136">
        <f>+'BALANCE AÑO 2022'!J29</f>
        <v>148</v>
      </c>
      <c r="E19" s="27"/>
      <c r="F19" s="27"/>
      <c r="G19" s="126">
        <f>+D19-E19+F19</f>
        <v>148</v>
      </c>
    </row>
    <row r="20" spans="1:8" ht="15" customHeight="1">
      <c r="A20" s="6"/>
      <c r="B20" s="54" t="s">
        <v>72</v>
      </c>
      <c r="C20" s="9" t="s">
        <v>0</v>
      </c>
      <c r="D20" s="136"/>
      <c r="E20" s="27"/>
      <c r="F20" s="27"/>
      <c r="G20" s="126">
        <f t="shared" si="3"/>
        <v>0</v>
      </c>
    </row>
    <row r="21" spans="1:8" ht="15" customHeight="1">
      <c r="A21" s="6"/>
      <c r="B21" s="54" t="s">
        <v>73</v>
      </c>
      <c r="C21" s="9" t="s">
        <v>0</v>
      </c>
      <c r="D21" s="136"/>
      <c r="E21" s="27"/>
      <c r="F21" s="27"/>
      <c r="G21" s="126">
        <f t="shared" si="3"/>
        <v>0</v>
      </c>
    </row>
    <row r="22" spans="1:8" ht="15" customHeight="1">
      <c r="A22" s="6"/>
      <c r="B22" s="54" t="s">
        <v>74</v>
      </c>
      <c r="C22" s="9" t="s">
        <v>0</v>
      </c>
      <c r="D22" s="136"/>
      <c r="E22" s="27"/>
      <c r="F22" s="27"/>
      <c r="G22" s="126">
        <f t="shared" si="3"/>
        <v>0</v>
      </c>
    </row>
    <row r="23" spans="1:8" ht="15" customHeight="1">
      <c r="A23" s="6"/>
      <c r="B23" s="54" t="s">
        <v>59</v>
      </c>
      <c r="C23" s="9" t="s">
        <v>0</v>
      </c>
      <c r="D23" s="137"/>
      <c r="E23" s="58"/>
      <c r="F23" s="58"/>
      <c r="G23" s="126">
        <f t="shared" si="3"/>
        <v>0</v>
      </c>
    </row>
    <row r="24" spans="1:8" ht="15" customHeight="1">
      <c r="A24" s="6"/>
      <c r="B24" s="54" t="s">
        <v>76</v>
      </c>
      <c r="C24" s="9" t="s">
        <v>0</v>
      </c>
      <c r="D24" s="138"/>
      <c r="E24" s="28"/>
      <c r="F24" s="28"/>
      <c r="G24" s="126">
        <f t="shared" si="3"/>
        <v>0</v>
      </c>
    </row>
    <row r="25" spans="1:8" ht="15" customHeight="1">
      <c r="A25" s="6"/>
      <c r="B25" s="54" t="s">
        <v>77</v>
      </c>
      <c r="C25" s="9" t="s">
        <v>0</v>
      </c>
      <c r="D25" s="138"/>
      <c r="E25" s="28"/>
      <c r="F25" s="28"/>
      <c r="G25" s="126">
        <f t="shared" si="3"/>
        <v>0</v>
      </c>
    </row>
    <row r="26" spans="1:8" ht="15" customHeight="1" thickBot="1">
      <c r="A26" s="6"/>
      <c r="B26" s="55" t="s">
        <v>78</v>
      </c>
      <c r="C26" s="12" t="s">
        <v>0</v>
      </c>
      <c r="D26" s="139"/>
      <c r="E26" s="109"/>
      <c r="F26" s="123"/>
      <c r="G26" s="126">
        <f t="shared" si="3"/>
        <v>0</v>
      </c>
    </row>
    <row r="27" spans="1:8" ht="15" customHeight="1">
      <c r="A27" s="6"/>
      <c r="B27" s="61" t="s">
        <v>21</v>
      </c>
      <c r="C27" s="14" t="s">
        <v>0</v>
      </c>
      <c r="D27" s="135"/>
      <c r="E27" s="106"/>
      <c r="F27" s="121"/>
      <c r="G27" s="127"/>
    </row>
    <row r="28" spans="1:8" ht="15.75" customHeight="1" thickBot="1">
      <c r="A28" s="6"/>
      <c r="B28" s="62" t="s">
        <v>22</v>
      </c>
      <c r="C28" s="12" t="s">
        <v>0</v>
      </c>
      <c r="D28" s="140"/>
      <c r="E28" s="105"/>
      <c r="F28" s="124"/>
      <c r="G28" s="128"/>
    </row>
    <row r="29" spans="1:8" ht="15.75" thickBot="1">
      <c r="A29" s="6"/>
      <c r="B29" s="57" t="s">
        <v>23</v>
      </c>
      <c r="C29" s="18" t="s">
        <v>1</v>
      </c>
      <c r="D29" s="141">
        <f>+D5+D9+D10+D11+D12+D15+D27+D28</f>
        <v>180000148</v>
      </c>
      <c r="E29" s="99"/>
      <c r="F29" s="99"/>
      <c r="G29" s="70">
        <f>+G5+G9+G10+G11+G12+G15+G27+G28</f>
        <v>115327879.09243695</v>
      </c>
    </row>
    <row r="30" spans="1:8" ht="15" customHeight="1">
      <c r="A30" s="6"/>
      <c r="B30" s="52" t="s">
        <v>60</v>
      </c>
      <c r="C30" s="64" t="s">
        <v>13</v>
      </c>
      <c r="D30" s="136"/>
      <c r="E30" s="27"/>
      <c r="F30" s="27"/>
      <c r="G30" s="126">
        <f t="shared" ref="G30:G54" si="4">+D30-E30+F30</f>
        <v>0</v>
      </c>
      <c r="H30"/>
    </row>
    <row r="31" spans="1:8" ht="15" customHeight="1">
      <c r="A31" s="6"/>
      <c r="B31" s="65" t="s">
        <v>62</v>
      </c>
      <c r="C31" s="48" t="s">
        <v>13</v>
      </c>
      <c r="D31" s="136"/>
      <c r="E31" s="27"/>
      <c r="F31" s="27"/>
      <c r="G31" s="126">
        <f t="shared" si="4"/>
        <v>0</v>
      </c>
      <c r="H31"/>
    </row>
    <row r="32" spans="1:8" ht="15" customHeight="1">
      <c r="A32" s="6"/>
      <c r="B32" s="65" t="s">
        <v>27</v>
      </c>
      <c r="C32" s="48" t="s">
        <v>13</v>
      </c>
      <c r="D32" s="136"/>
      <c r="E32" s="27"/>
      <c r="F32" s="27"/>
      <c r="G32" s="126">
        <f t="shared" si="4"/>
        <v>0</v>
      </c>
    </row>
    <row r="33" spans="1:8" ht="15" customHeight="1">
      <c r="A33" s="6"/>
      <c r="B33" s="65" t="s">
        <v>63</v>
      </c>
      <c r="C33" s="48" t="s">
        <v>13</v>
      </c>
      <c r="D33" s="136"/>
      <c r="E33" s="27"/>
      <c r="F33" s="116">
        <f>+'BALANCE AÑO 2022'!G8</f>
        <v>1478000</v>
      </c>
      <c r="G33" s="126">
        <f t="shared" si="4"/>
        <v>1478000</v>
      </c>
      <c r="H33"/>
    </row>
    <row r="34" spans="1:8" ht="15" customHeight="1">
      <c r="A34" s="6"/>
      <c r="B34" s="65" t="s">
        <v>64</v>
      </c>
      <c r="C34" s="48" t="s">
        <v>13</v>
      </c>
      <c r="D34" s="136"/>
      <c r="E34" s="27"/>
      <c r="F34" s="116"/>
      <c r="G34" s="126">
        <f t="shared" si="4"/>
        <v>0</v>
      </c>
      <c r="H34"/>
    </row>
    <row r="35" spans="1:8">
      <c r="A35" s="6"/>
      <c r="B35" s="65" t="s">
        <v>65</v>
      </c>
      <c r="C35" s="48" t="s">
        <v>13</v>
      </c>
      <c r="D35" s="136"/>
      <c r="E35" s="27"/>
      <c r="F35" s="116">
        <f>+'BASE IMPONIBLE AT2022'!E35</f>
        <v>2933811</v>
      </c>
      <c r="G35" s="126">
        <f>+D35-E35+F35</f>
        <v>2933811</v>
      </c>
      <c r="H35"/>
    </row>
    <row r="36" spans="1:8">
      <c r="A36" s="6"/>
      <c r="B36" s="65" t="s">
        <v>61</v>
      </c>
      <c r="C36" s="48" t="s">
        <v>13</v>
      </c>
      <c r="D36" s="136">
        <f>+'BALANCE AÑO 2022'!I30</f>
        <v>560000</v>
      </c>
      <c r="E36" s="27">
        <f>+'BALANCE AÑO 2022'!H18+'BALANCE AÑO 2022'!H22</f>
        <v>560000</v>
      </c>
      <c r="F36" s="116">
        <f>+'BASE IMPONIBLE AT2022'!E36</f>
        <v>1192286</v>
      </c>
      <c r="G36" s="126">
        <f t="shared" si="4"/>
        <v>1192286</v>
      </c>
      <c r="H36"/>
    </row>
    <row r="37" spans="1:8">
      <c r="A37" s="6"/>
      <c r="B37" s="65" t="s">
        <v>67</v>
      </c>
      <c r="C37" s="48" t="s">
        <v>13</v>
      </c>
      <c r="D37" s="136"/>
      <c r="E37" s="27"/>
      <c r="F37" s="116"/>
      <c r="G37" s="126">
        <f t="shared" si="4"/>
        <v>0</v>
      </c>
      <c r="H37"/>
    </row>
    <row r="38" spans="1:8">
      <c r="A38" s="6"/>
      <c r="B38" s="65" t="s">
        <v>68</v>
      </c>
      <c r="C38" s="48" t="s">
        <v>13</v>
      </c>
      <c r="D38" s="136"/>
      <c r="E38" s="27"/>
      <c r="F38" s="116"/>
      <c r="G38" s="126">
        <f t="shared" si="4"/>
        <v>0</v>
      </c>
      <c r="H38"/>
    </row>
    <row r="39" spans="1:8">
      <c r="A39" s="6"/>
      <c r="B39" s="65" t="s">
        <v>69</v>
      </c>
      <c r="C39" s="48" t="s">
        <v>13</v>
      </c>
      <c r="D39" s="138"/>
      <c r="E39" s="27"/>
      <c r="F39" s="116"/>
      <c r="G39" s="126">
        <f t="shared" si="4"/>
        <v>0</v>
      </c>
      <c r="H39"/>
    </row>
    <row r="40" spans="1:8">
      <c r="A40" s="6"/>
      <c r="B40" s="66" t="s">
        <v>66</v>
      </c>
      <c r="C40" s="48" t="s">
        <v>13</v>
      </c>
      <c r="D40" s="138"/>
      <c r="E40" s="27"/>
      <c r="F40" s="116"/>
      <c r="G40" s="126">
        <f t="shared" si="4"/>
        <v>0</v>
      </c>
      <c r="H40"/>
    </row>
    <row r="41" spans="1:8" ht="15" customHeight="1">
      <c r="A41" s="6"/>
      <c r="B41" s="66" t="s">
        <v>36</v>
      </c>
      <c r="C41" s="48" t="s">
        <v>13</v>
      </c>
      <c r="D41" s="136"/>
      <c r="E41" s="27"/>
      <c r="F41" s="116"/>
      <c r="G41" s="126">
        <f t="shared" si="4"/>
        <v>0</v>
      </c>
    </row>
    <row r="42" spans="1:8" ht="15" customHeight="1">
      <c r="A42" s="6"/>
      <c r="B42" s="66" t="s">
        <v>37</v>
      </c>
      <c r="C42" s="48" t="s">
        <v>13</v>
      </c>
      <c r="D42" s="136"/>
      <c r="E42" s="27"/>
      <c r="F42" s="116"/>
      <c r="G42" s="126">
        <f t="shared" si="4"/>
        <v>0</v>
      </c>
    </row>
    <row r="43" spans="1:8" ht="15" customHeight="1">
      <c r="A43" s="6"/>
      <c r="B43" s="66" t="s">
        <v>38</v>
      </c>
      <c r="C43" s="48" t="s">
        <v>13</v>
      </c>
      <c r="D43" s="136"/>
      <c r="E43" s="27"/>
      <c r="F43" s="116"/>
      <c r="G43" s="126">
        <f t="shared" si="4"/>
        <v>0</v>
      </c>
    </row>
    <row r="44" spans="1:8" ht="15" customHeight="1">
      <c r="A44" s="6"/>
      <c r="B44" s="66" t="s">
        <v>39</v>
      </c>
      <c r="C44" s="48" t="s">
        <v>13</v>
      </c>
      <c r="D44" s="136"/>
      <c r="E44" s="27"/>
      <c r="F44" s="116"/>
      <c r="G44" s="126">
        <f t="shared" si="4"/>
        <v>0</v>
      </c>
    </row>
    <row r="45" spans="1:8">
      <c r="A45" s="6"/>
      <c r="B45" s="82" t="s">
        <v>70</v>
      </c>
      <c r="C45" s="48" t="s">
        <v>13</v>
      </c>
      <c r="D45" s="136"/>
      <c r="E45" s="27"/>
      <c r="F45" s="116"/>
      <c r="G45" s="126">
        <f t="shared" si="4"/>
        <v>0</v>
      </c>
    </row>
    <row r="46" spans="1:8">
      <c r="A46" s="6"/>
      <c r="B46" s="82" t="s">
        <v>71</v>
      </c>
      <c r="C46" s="48" t="s">
        <v>13</v>
      </c>
      <c r="D46" s="136"/>
      <c r="E46" s="27"/>
      <c r="F46" s="116"/>
      <c r="G46" s="126">
        <f t="shared" si="4"/>
        <v>0</v>
      </c>
    </row>
    <row r="47" spans="1:8" ht="15" customHeight="1">
      <c r="A47" s="6"/>
      <c r="B47" s="82" t="s">
        <v>79</v>
      </c>
      <c r="C47" s="48" t="s">
        <v>13</v>
      </c>
      <c r="D47" s="136"/>
      <c r="E47" s="27"/>
      <c r="F47" s="116"/>
      <c r="G47" s="126">
        <f t="shared" si="4"/>
        <v>0</v>
      </c>
    </row>
    <row r="48" spans="1:8" ht="15" customHeight="1">
      <c r="A48" s="6"/>
      <c r="B48" s="82" t="s">
        <v>80</v>
      </c>
      <c r="C48" s="48" t="s">
        <v>13</v>
      </c>
      <c r="D48" s="136"/>
      <c r="E48" s="27"/>
      <c r="F48" s="116"/>
      <c r="G48" s="126">
        <f t="shared" si="4"/>
        <v>0</v>
      </c>
    </row>
    <row r="49" spans="1:9" ht="15" customHeight="1">
      <c r="A49" s="6"/>
      <c r="B49" s="66" t="s">
        <v>42</v>
      </c>
      <c r="C49" s="48" t="s">
        <v>13</v>
      </c>
      <c r="D49" s="136"/>
      <c r="E49" s="27"/>
      <c r="F49" s="116"/>
      <c r="G49" s="126">
        <f t="shared" si="4"/>
        <v>0</v>
      </c>
    </row>
    <row r="50" spans="1:9">
      <c r="A50" s="6"/>
      <c r="B50" s="66" t="s">
        <v>86</v>
      </c>
      <c r="C50" s="48" t="s">
        <v>13</v>
      </c>
      <c r="D50" s="136">
        <f>+'BALANCE AÑO 2022'!I31</f>
        <v>51599193</v>
      </c>
      <c r="E50" s="27">
        <f>+'BALANCE AÑO 2022'!H17/1.19</f>
        <v>16386554.62184874</v>
      </c>
      <c r="F50" s="116">
        <f>+'BASE IMPONIBLE AT2022'!E50</f>
        <v>45777979.831932776</v>
      </c>
      <c r="G50" s="126">
        <f>+D50-E50+F50</f>
        <v>80990618.210084036</v>
      </c>
      <c r="H50"/>
    </row>
    <row r="51" spans="1:9" ht="15" customHeight="1">
      <c r="A51" s="6"/>
      <c r="B51" s="66" t="s">
        <v>44</v>
      </c>
      <c r="C51" s="48" t="s">
        <v>13</v>
      </c>
      <c r="D51" s="136"/>
      <c r="E51" s="27"/>
      <c r="F51" s="116"/>
      <c r="G51" s="126">
        <f t="shared" si="4"/>
        <v>0</v>
      </c>
    </row>
    <row r="52" spans="1:9">
      <c r="A52" s="6"/>
      <c r="B52" s="66" t="s">
        <v>45</v>
      </c>
      <c r="C52" s="48" t="s">
        <v>13</v>
      </c>
      <c r="D52" s="136"/>
      <c r="E52" s="27"/>
      <c r="F52" s="116">
        <f>-'BASE IMPONIBLE AT2022'!G69</f>
        <v>19462247.298161387</v>
      </c>
      <c r="G52" s="126">
        <f t="shared" si="4"/>
        <v>19462247.298161387</v>
      </c>
    </row>
    <row r="53" spans="1:9" ht="16.5" customHeight="1">
      <c r="A53" s="6"/>
      <c r="B53" s="65" t="s">
        <v>46</v>
      </c>
      <c r="C53" s="48" t="s">
        <v>13</v>
      </c>
      <c r="D53" s="136"/>
      <c r="E53" s="27"/>
      <c r="F53" s="116"/>
      <c r="G53" s="126">
        <f t="shared" si="4"/>
        <v>0</v>
      </c>
    </row>
    <row r="54" spans="1:9">
      <c r="A54" s="6"/>
      <c r="B54" s="65" t="s">
        <v>3</v>
      </c>
      <c r="C54" s="48" t="s">
        <v>13</v>
      </c>
      <c r="D54" s="136"/>
      <c r="E54" s="27"/>
      <c r="F54" s="116"/>
      <c r="G54" s="126">
        <f t="shared" si="4"/>
        <v>0</v>
      </c>
    </row>
    <row r="55" spans="1:9">
      <c r="A55" s="6"/>
      <c r="B55" s="65" t="s">
        <v>87</v>
      </c>
      <c r="C55" s="20"/>
      <c r="D55" s="136"/>
      <c r="E55" s="27"/>
      <c r="F55" s="116"/>
      <c r="G55" s="88"/>
    </row>
    <row r="56" spans="1:9" ht="15" customHeight="1">
      <c r="A56" s="6"/>
      <c r="B56" s="54" t="s">
        <v>88</v>
      </c>
      <c r="C56" s="48" t="s">
        <v>13</v>
      </c>
      <c r="D56" s="136">
        <f>+'BALANCE AÑO 2022'!I32</f>
        <v>5000000</v>
      </c>
      <c r="E56" s="27"/>
      <c r="F56" s="116"/>
      <c r="G56" s="88"/>
    </row>
    <row r="57" spans="1:9" ht="15" customHeight="1">
      <c r="A57" s="6"/>
      <c r="B57" s="54" t="s">
        <v>94</v>
      </c>
      <c r="C57" s="48" t="s">
        <v>13</v>
      </c>
      <c r="D57" s="136"/>
      <c r="E57" s="27"/>
      <c r="F57" s="116"/>
      <c r="G57" s="89"/>
    </row>
    <row r="58" spans="1:9" ht="15" customHeight="1">
      <c r="A58" s="6"/>
      <c r="B58" s="54" t="s">
        <v>209</v>
      </c>
      <c r="C58" s="48" t="s">
        <v>13</v>
      </c>
      <c r="D58" s="136"/>
      <c r="E58" s="27"/>
      <c r="F58" s="116"/>
      <c r="G58" s="112"/>
    </row>
    <row r="59" spans="1:9" ht="15" customHeight="1">
      <c r="A59" s="6"/>
      <c r="B59" s="54" t="s">
        <v>75</v>
      </c>
      <c r="C59" s="48" t="s">
        <v>13</v>
      </c>
      <c r="D59" s="136"/>
      <c r="E59" s="27"/>
      <c r="F59" s="116"/>
      <c r="G59" s="89"/>
    </row>
    <row r="60" spans="1:9" ht="15" customHeight="1">
      <c r="A60" s="6"/>
      <c r="B60" s="54" t="s">
        <v>75</v>
      </c>
      <c r="C60" s="48" t="s">
        <v>13</v>
      </c>
      <c r="D60" s="136"/>
      <c r="E60" s="27"/>
      <c r="F60" s="116"/>
      <c r="G60" s="89"/>
    </row>
    <row r="61" spans="1:9" ht="15" customHeight="1" thickBot="1">
      <c r="A61" s="6"/>
      <c r="B61" s="67" t="s">
        <v>75</v>
      </c>
      <c r="C61" s="68" t="s">
        <v>13</v>
      </c>
      <c r="D61" s="136"/>
      <c r="E61" s="27"/>
      <c r="F61" s="27"/>
      <c r="G61" s="89"/>
    </row>
    <row r="62" spans="1:9" ht="15.75" thickBot="1">
      <c r="A62" s="6"/>
      <c r="B62" s="83" t="s">
        <v>47</v>
      </c>
      <c r="C62" s="84" t="s">
        <v>1</v>
      </c>
      <c r="D62" s="142">
        <f>SUM(D30:D61)</f>
        <v>57159193</v>
      </c>
      <c r="E62" s="98"/>
      <c r="F62" s="98"/>
      <c r="G62" s="113">
        <f>SUM(G30:G61)</f>
        <v>106056962.50824542</v>
      </c>
      <c r="I62" s="96"/>
    </row>
    <row r="63" spans="1:9" ht="15.75" thickBot="1">
      <c r="A63" s="6"/>
      <c r="B63" s="83" t="s">
        <v>89</v>
      </c>
      <c r="C63" s="84" t="s">
        <v>1</v>
      </c>
      <c r="D63" s="142">
        <f>+D29-D62</f>
        <v>122840955</v>
      </c>
      <c r="E63" s="99"/>
      <c r="F63" s="99"/>
      <c r="G63" s="114"/>
      <c r="I63" s="96"/>
    </row>
    <row r="64" spans="1:9" ht="15.75" customHeight="1" thickBot="1">
      <c r="A64" s="6"/>
      <c r="B64" s="85" t="s">
        <v>48</v>
      </c>
      <c r="C64" s="86" t="s">
        <v>0</v>
      </c>
      <c r="D64" s="141"/>
      <c r="E64" s="98"/>
      <c r="F64" s="98"/>
      <c r="G64" s="113">
        <f>+G47+G48</f>
        <v>0</v>
      </c>
      <c r="I64" s="97"/>
    </row>
    <row r="65" spans="1:9" ht="15.75" customHeight="1" thickBot="1">
      <c r="A65" s="6"/>
      <c r="B65" s="72" t="s">
        <v>51</v>
      </c>
      <c r="C65" s="16" t="s">
        <v>1</v>
      </c>
      <c r="D65" s="143"/>
      <c r="E65" s="99"/>
      <c r="F65" s="99"/>
      <c r="G65" s="113">
        <f>+G29-G62+G64</f>
        <v>9270916.5841915309</v>
      </c>
      <c r="I65" s="96"/>
    </row>
    <row r="66" spans="1:9" ht="15.75" customHeight="1" thickBot="1">
      <c r="A66" s="6"/>
      <c r="B66" s="72" t="s">
        <v>52</v>
      </c>
      <c r="C66" s="73"/>
      <c r="D66" s="144"/>
      <c r="E66" s="110"/>
      <c r="F66" s="110"/>
      <c r="G66" s="113"/>
      <c r="I66" s="97"/>
    </row>
    <row r="67" spans="1:9" ht="15.75" thickBot="1">
      <c r="A67" s="6"/>
      <c r="B67" s="61" t="s">
        <v>9</v>
      </c>
      <c r="C67" s="56" t="s">
        <v>13</v>
      </c>
      <c r="D67" s="145"/>
      <c r="E67" s="100"/>
      <c r="F67" s="100"/>
      <c r="G67" s="113">
        <f>+D87</f>
        <v>4635458.2920957655</v>
      </c>
      <c r="I67" s="97"/>
    </row>
    <row r="68" spans="1:9" ht="15.75" customHeight="1" thickBot="1">
      <c r="A68" s="6"/>
      <c r="B68" s="60" t="s">
        <v>4</v>
      </c>
      <c r="C68" s="68" t="s">
        <v>13</v>
      </c>
      <c r="D68" s="146"/>
      <c r="E68" s="101"/>
      <c r="F68" s="101"/>
      <c r="G68" s="113"/>
    </row>
    <row r="69" spans="1:9" ht="15.75" customHeight="1" thickBot="1">
      <c r="A69" s="6"/>
      <c r="B69" s="69" t="s">
        <v>50</v>
      </c>
      <c r="C69" s="18" t="s">
        <v>1</v>
      </c>
      <c r="D69" s="141"/>
      <c r="E69" s="98"/>
      <c r="F69" s="98"/>
      <c r="G69" s="113">
        <f>+G65-G67</f>
        <v>4635458.2920957655</v>
      </c>
    </row>
    <row r="70" spans="1:9" ht="15.75" customHeight="1" thickBot="1">
      <c r="A70" s="5"/>
      <c r="B70" s="71"/>
      <c r="C70" s="95"/>
      <c r="D70" s="147"/>
      <c r="E70" s="102"/>
      <c r="F70" s="102"/>
      <c r="G70" s="113"/>
    </row>
    <row r="71" spans="1:9" ht="15.75" thickBot="1">
      <c r="B71" s="91" t="s">
        <v>53</v>
      </c>
      <c r="C71" s="92"/>
      <c r="D71" s="148"/>
      <c r="E71" s="111"/>
      <c r="F71" s="111"/>
      <c r="G71" s="113"/>
    </row>
    <row r="72" spans="1:9" ht="15.75" thickBot="1">
      <c r="B72" s="65" t="s">
        <v>6</v>
      </c>
      <c r="C72" s="9" t="s">
        <v>0</v>
      </c>
      <c r="D72" s="149"/>
      <c r="E72" s="103"/>
      <c r="F72" s="103"/>
      <c r="G72" s="113"/>
    </row>
    <row r="73" spans="1:9" ht="15.75" thickBot="1">
      <c r="B73" s="60" t="s">
        <v>7</v>
      </c>
      <c r="C73" s="13" t="s">
        <v>0</v>
      </c>
      <c r="D73" s="150"/>
      <c r="E73" s="104"/>
      <c r="F73" s="104"/>
      <c r="G73" s="113"/>
    </row>
    <row r="74" spans="1:9" ht="15.75" thickBot="1">
      <c r="B74" s="69" t="s">
        <v>8</v>
      </c>
      <c r="C74" s="18" t="s">
        <v>1</v>
      </c>
      <c r="D74" s="141"/>
      <c r="E74" s="98"/>
      <c r="F74" s="98"/>
      <c r="G74" s="113">
        <f>+G69</f>
        <v>4635458.2920957655</v>
      </c>
    </row>
    <row r="75" spans="1:9" ht="15.75" thickBot="1">
      <c r="B75" s="4"/>
      <c r="C75" s="46"/>
      <c r="D75" s="141"/>
      <c r="E75" s="98"/>
      <c r="F75" s="98"/>
      <c r="G75" s="90"/>
    </row>
    <row r="76" spans="1:9" ht="15.75" thickBot="1">
      <c r="B76" s="91" t="s">
        <v>81</v>
      </c>
      <c r="C76" s="92"/>
      <c r="D76" s="141"/>
      <c r="E76" s="98"/>
      <c r="F76" s="98"/>
      <c r="G76" s="93"/>
    </row>
    <row r="77" spans="1:9" ht="15.75" thickBot="1">
      <c r="B77" s="82" t="s">
        <v>70</v>
      </c>
      <c r="C77" s="9" t="s">
        <v>0</v>
      </c>
      <c r="D77" s="141"/>
      <c r="E77" s="98"/>
      <c r="F77" s="98"/>
      <c r="G77" s="94">
        <f>+G45</f>
        <v>0</v>
      </c>
    </row>
    <row r="78" spans="1:9" ht="15.75" thickBot="1">
      <c r="B78" s="69" t="s">
        <v>82</v>
      </c>
      <c r="C78" s="18" t="s">
        <v>1</v>
      </c>
      <c r="D78" s="141"/>
      <c r="E78" s="98"/>
      <c r="F78" s="98"/>
      <c r="G78" s="63">
        <f t="shared" ref="G78" si="5">+G77</f>
        <v>0</v>
      </c>
    </row>
    <row r="80" spans="1:9">
      <c r="D80" s="151"/>
    </row>
    <row r="81" spans="2:7" ht="15.75">
      <c r="B81" s="156" t="s">
        <v>130</v>
      </c>
      <c r="C81" s="157"/>
      <c r="D81" s="5"/>
      <c r="G81" s="115"/>
    </row>
    <row r="82" spans="2:7" ht="15.75">
      <c r="B82" s="158" t="s">
        <v>131</v>
      </c>
      <c r="C82" s="159"/>
      <c r="D82" s="5"/>
    </row>
    <row r="83" spans="2:7">
      <c r="B83" s="160" t="s">
        <v>132</v>
      </c>
      <c r="C83" s="161"/>
      <c r="D83" s="162">
        <f>+G65</f>
        <v>9270916.5841915309</v>
      </c>
      <c r="G83" s="115"/>
    </row>
    <row r="84" spans="2:7">
      <c r="B84" s="163" t="s">
        <v>133</v>
      </c>
      <c r="C84" s="164"/>
      <c r="D84" s="165"/>
    </row>
    <row r="85" spans="2:7">
      <c r="B85" s="163" t="s">
        <v>134</v>
      </c>
      <c r="C85" s="164"/>
      <c r="D85" s="165">
        <f>+G64</f>
        <v>0</v>
      </c>
    </row>
    <row r="86" spans="2:7">
      <c r="B86" s="160" t="s">
        <v>135</v>
      </c>
      <c r="C86" s="166"/>
      <c r="D86" s="162">
        <f>+D83-D84-D85</f>
        <v>9270916.5841915309</v>
      </c>
    </row>
    <row r="87" spans="2:7">
      <c r="B87" s="167">
        <v>0.5</v>
      </c>
      <c r="C87" s="168"/>
      <c r="D87" s="169">
        <f>+D86/2</f>
        <v>4635458.2920957655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31" zoomScaleNormal="100" workbookViewId="0">
      <selection activeCell="L41" sqref="L41:P41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57" t="s">
        <v>14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S2" s="21"/>
    </row>
    <row r="3" spans="3:22" s="31" customFormat="1" ht="23.45" customHeight="1" thickBot="1">
      <c r="C3" s="260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2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63" t="s">
        <v>15</v>
      </c>
      <c r="M4" s="264"/>
      <c r="N4" s="264"/>
      <c r="O4" s="264"/>
      <c r="P4" s="265"/>
      <c r="Q4" s="35"/>
    </row>
    <row r="5" spans="3:22" ht="27" customHeight="1">
      <c r="C5" s="266" t="s">
        <v>16</v>
      </c>
      <c r="D5" s="267"/>
      <c r="E5" s="267"/>
      <c r="F5" s="267"/>
      <c r="G5" s="267"/>
      <c r="H5" s="267"/>
      <c r="I5" s="267"/>
      <c r="J5" s="267"/>
      <c r="K5" s="24">
        <v>1400</v>
      </c>
      <c r="L5" s="268">
        <f>+'BASE IMPONIBLE AT2023'!G6</f>
        <v>61327731.092436954</v>
      </c>
      <c r="M5" s="269"/>
      <c r="N5" s="269"/>
      <c r="O5" s="269"/>
      <c r="P5" s="270"/>
      <c r="Q5" s="8" t="s">
        <v>0</v>
      </c>
    </row>
    <row r="6" spans="3:22" ht="27" customHeight="1">
      <c r="C6" s="252" t="s">
        <v>17</v>
      </c>
      <c r="D6" s="253"/>
      <c r="E6" s="253"/>
      <c r="F6" s="253"/>
      <c r="G6" s="253"/>
      <c r="H6" s="253"/>
      <c r="I6" s="253"/>
      <c r="J6" s="253"/>
      <c r="K6" s="26">
        <v>1401</v>
      </c>
      <c r="L6" s="254">
        <f>+'BASE IMPONIBLE AT2022'!G9</f>
        <v>0</v>
      </c>
      <c r="M6" s="255"/>
      <c r="N6" s="255"/>
      <c r="O6" s="255"/>
      <c r="P6" s="256"/>
      <c r="Q6" s="10" t="s">
        <v>0</v>
      </c>
    </row>
    <row r="7" spans="3:22" ht="27" customHeight="1">
      <c r="C7" s="36" t="s">
        <v>18</v>
      </c>
      <c r="D7" s="17"/>
      <c r="E7" s="17"/>
      <c r="F7" s="17"/>
      <c r="G7" s="17"/>
      <c r="H7" s="17"/>
      <c r="I7" s="17"/>
      <c r="J7" s="17"/>
      <c r="K7" s="26">
        <v>1402</v>
      </c>
      <c r="L7" s="254">
        <f>+'BASE IMPONIBLE AT2022'!G10</f>
        <v>0</v>
      </c>
      <c r="M7" s="255"/>
      <c r="N7" s="255"/>
      <c r="O7" s="255"/>
      <c r="P7" s="256"/>
      <c r="Q7" s="10" t="s">
        <v>0</v>
      </c>
    </row>
    <row r="8" spans="3:22" ht="27" customHeight="1">
      <c r="C8" s="271" t="s">
        <v>19</v>
      </c>
      <c r="D8" s="272"/>
      <c r="E8" s="272"/>
      <c r="F8" s="272"/>
      <c r="G8" s="272"/>
      <c r="H8" s="272"/>
      <c r="I8" s="272"/>
      <c r="J8" s="272"/>
      <c r="K8" s="26">
        <v>1403</v>
      </c>
      <c r="L8" s="254">
        <f>+'BASE IMPONIBLE AT2022'!G11</f>
        <v>0</v>
      </c>
      <c r="M8" s="255"/>
      <c r="N8" s="255"/>
      <c r="O8" s="255"/>
      <c r="P8" s="256"/>
      <c r="Q8" s="10" t="s">
        <v>0</v>
      </c>
    </row>
    <row r="9" spans="3:22" ht="27" customHeight="1">
      <c r="C9" s="271" t="s">
        <v>20</v>
      </c>
      <c r="D9" s="272"/>
      <c r="E9" s="272"/>
      <c r="F9" s="272"/>
      <c r="G9" s="272"/>
      <c r="H9" s="272"/>
      <c r="I9" s="272"/>
      <c r="J9" s="272"/>
      <c r="K9" s="26">
        <v>1587</v>
      </c>
      <c r="L9" s="254">
        <f>+'BASE IMPONIBLE AT2023'!G13</f>
        <v>54000000</v>
      </c>
      <c r="M9" s="255"/>
      <c r="N9" s="255"/>
      <c r="O9" s="255"/>
      <c r="P9" s="256"/>
      <c r="Q9" s="10" t="s">
        <v>0</v>
      </c>
    </row>
    <row r="10" spans="3:22" ht="27" customHeight="1">
      <c r="C10" s="252" t="s">
        <v>2</v>
      </c>
      <c r="D10" s="253"/>
      <c r="E10" s="253"/>
      <c r="F10" s="253"/>
      <c r="G10" s="253"/>
      <c r="H10" s="253"/>
      <c r="I10" s="253"/>
      <c r="J10" s="253"/>
      <c r="K10" s="26">
        <v>1588</v>
      </c>
      <c r="L10" s="254">
        <f>+'BASE IMPONIBLE AT2023'!G15</f>
        <v>148</v>
      </c>
      <c r="M10" s="255"/>
      <c r="N10" s="255"/>
      <c r="O10" s="255"/>
      <c r="P10" s="256"/>
      <c r="Q10" s="10" t="s">
        <v>0</v>
      </c>
    </row>
    <row r="11" spans="3:22" ht="54.6" customHeight="1">
      <c r="C11" s="271" t="s">
        <v>21</v>
      </c>
      <c r="D11" s="272"/>
      <c r="E11" s="272"/>
      <c r="F11" s="272"/>
      <c r="G11" s="272"/>
      <c r="H11" s="272"/>
      <c r="I11" s="272"/>
      <c r="J11" s="272"/>
      <c r="K11" s="26">
        <v>1404</v>
      </c>
      <c r="L11" s="254">
        <f>+'BASE IMPONIBLE AT2022'!G27</f>
        <v>0</v>
      </c>
      <c r="M11" s="255"/>
      <c r="N11" s="255"/>
      <c r="O11" s="255"/>
      <c r="P11" s="256"/>
      <c r="Q11" s="10" t="s">
        <v>0</v>
      </c>
    </row>
    <row r="12" spans="3:22" ht="27" customHeight="1" thickBot="1">
      <c r="C12" s="273" t="s">
        <v>22</v>
      </c>
      <c r="D12" s="274"/>
      <c r="E12" s="274"/>
      <c r="F12" s="274"/>
      <c r="G12" s="274"/>
      <c r="H12" s="274"/>
      <c r="I12" s="274"/>
      <c r="J12" s="274"/>
      <c r="K12" s="25">
        <v>1405</v>
      </c>
      <c r="L12" s="275">
        <f>+'BASE IMPONIBLE AT2022'!G28</f>
        <v>0</v>
      </c>
      <c r="M12" s="276"/>
      <c r="N12" s="276"/>
      <c r="O12" s="276"/>
      <c r="P12" s="277"/>
      <c r="Q12" s="37" t="s">
        <v>0</v>
      </c>
    </row>
    <row r="13" spans="3:22" ht="27" customHeight="1" thickBot="1">
      <c r="C13" s="278" t="s">
        <v>23</v>
      </c>
      <c r="D13" s="279"/>
      <c r="E13" s="279"/>
      <c r="F13" s="279"/>
      <c r="G13" s="279"/>
      <c r="H13" s="279"/>
      <c r="I13" s="279"/>
      <c r="J13" s="280"/>
      <c r="K13" s="18">
        <v>1410</v>
      </c>
      <c r="L13" s="281">
        <f>SUM(L5:P12)</f>
        <v>115327879.09243695</v>
      </c>
      <c r="M13" s="281"/>
      <c r="N13" s="281"/>
      <c r="O13" s="281"/>
      <c r="P13" s="281"/>
      <c r="Q13" s="23" t="s">
        <v>1</v>
      </c>
    </row>
    <row r="14" spans="3:22" ht="27" customHeight="1" thickBot="1">
      <c r="C14" s="282" t="s">
        <v>24</v>
      </c>
      <c r="D14" s="283"/>
      <c r="E14" s="283"/>
      <c r="F14" s="283"/>
      <c r="G14" s="283"/>
      <c r="H14" s="283"/>
      <c r="I14" s="283"/>
      <c r="J14" s="284"/>
      <c r="K14" s="117">
        <v>1406</v>
      </c>
      <c r="L14" s="269">
        <f>+'BASE IMPONIBLE AT2023'!G30</f>
        <v>0</v>
      </c>
      <c r="M14" s="269"/>
      <c r="N14" s="269"/>
      <c r="O14" s="269"/>
      <c r="P14" s="269"/>
      <c r="Q14" s="38" t="s">
        <v>13</v>
      </c>
      <c r="S14" s="19" t="s">
        <v>25</v>
      </c>
      <c r="T14" s="19"/>
      <c r="U14" s="19"/>
      <c r="V14" s="19"/>
    </row>
    <row r="15" spans="3:22" ht="27" customHeight="1" thickBot="1">
      <c r="C15" s="271" t="s">
        <v>26</v>
      </c>
      <c r="D15" s="272"/>
      <c r="E15" s="272"/>
      <c r="F15" s="272"/>
      <c r="G15" s="272"/>
      <c r="H15" s="272"/>
      <c r="I15" s="272"/>
      <c r="J15" s="285"/>
      <c r="K15" s="9">
        <v>1407</v>
      </c>
      <c r="L15" s="269">
        <f>+'BASE IMPONIBLE AT2023'!G31</f>
        <v>0</v>
      </c>
      <c r="M15" s="269"/>
      <c r="N15" s="269"/>
      <c r="O15" s="269"/>
      <c r="P15" s="269"/>
      <c r="Q15" s="11" t="s">
        <v>13</v>
      </c>
      <c r="S15" s="19" t="s">
        <v>25</v>
      </c>
    </row>
    <row r="16" spans="3:22" ht="27" customHeight="1" thickBot="1">
      <c r="C16" s="271" t="s">
        <v>27</v>
      </c>
      <c r="D16" s="272"/>
      <c r="E16" s="272"/>
      <c r="F16" s="272"/>
      <c r="G16" s="272"/>
      <c r="H16" s="272"/>
      <c r="I16" s="272"/>
      <c r="J16" s="285"/>
      <c r="K16" s="9">
        <v>1408</v>
      </c>
      <c r="L16" s="269">
        <f>+'BASE IMPONIBLE AT2023'!G32</f>
        <v>0</v>
      </c>
      <c r="M16" s="269"/>
      <c r="N16" s="269"/>
      <c r="O16" s="269"/>
      <c r="P16" s="269"/>
      <c r="Q16" s="11" t="s">
        <v>13</v>
      </c>
      <c r="S16" s="19" t="s">
        <v>25</v>
      </c>
    </row>
    <row r="17" spans="3:17" ht="27" customHeight="1" thickBot="1">
      <c r="C17" s="271" t="s">
        <v>28</v>
      </c>
      <c r="D17" s="272"/>
      <c r="E17" s="272"/>
      <c r="F17" s="272"/>
      <c r="G17" s="272"/>
      <c r="H17" s="272"/>
      <c r="I17" s="272"/>
      <c r="J17" s="285"/>
      <c r="K17" s="9">
        <v>1409</v>
      </c>
      <c r="L17" s="269">
        <f>+'BASE IMPONIBLE AT2023'!G33</f>
        <v>1478000</v>
      </c>
      <c r="M17" s="269"/>
      <c r="N17" s="269"/>
      <c r="O17" s="269"/>
      <c r="P17" s="269"/>
      <c r="Q17" s="11" t="s">
        <v>13</v>
      </c>
    </row>
    <row r="18" spans="3:17" ht="27" customHeight="1" thickBot="1">
      <c r="C18" s="271" t="s">
        <v>29</v>
      </c>
      <c r="D18" s="272"/>
      <c r="E18" s="272"/>
      <c r="F18" s="272"/>
      <c r="G18" s="272"/>
      <c r="H18" s="272"/>
      <c r="I18" s="272"/>
      <c r="J18" s="285"/>
      <c r="K18" s="9">
        <v>1429</v>
      </c>
      <c r="L18" s="269">
        <f>+'BASE IMPONIBLE AT2023'!G34</f>
        <v>0</v>
      </c>
      <c r="M18" s="269"/>
      <c r="N18" s="269"/>
      <c r="O18" s="269"/>
      <c r="P18" s="269"/>
      <c r="Q18" s="11" t="s">
        <v>13</v>
      </c>
    </row>
    <row r="19" spans="3:17" ht="27" customHeight="1" thickBot="1">
      <c r="C19" s="271" t="s">
        <v>30</v>
      </c>
      <c r="D19" s="272"/>
      <c r="E19" s="272"/>
      <c r="F19" s="272"/>
      <c r="G19" s="272"/>
      <c r="H19" s="272"/>
      <c r="I19" s="272"/>
      <c r="J19" s="285"/>
      <c r="K19" s="9">
        <v>1411</v>
      </c>
      <c r="L19" s="269">
        <f>+'BASE IMPONIBLE AT2023'!G35</f>
        <v>2933811</v>
      </c>
      <c r="M19" s="269"/>
      <c r="N19" s="269"/>
      <c r="O19" s="269"/>
      <c r="P19" s="269"/>
      <c r="Q19" s="11" t="s">
        <v>13</v>
      </c>
    </row>
    <row r="20" spans="3:17" ht="27" customHeight="1" thickBot="1">
      <c r="C20" s="271" t="s">
        <v>31</v>
      </c>
      <c r="D20" s="272"/>
      <c r="E20" s="272"/>
      <c r="F20" s="272"/>
      <c r="G20" s="272"/>
      <c r="H20" s="272"/>
      <c r="I20" s="272"/>
      <c r="J20" s="285"/>
      <c r="K20" s="9">
        <v>1412</v>
      </c>
      <c r="L20" s="269">
        <f>+'BASE IMPONIBLE AT2023'!G36</f>
        <v>1192286</v>
      </c>
      <c r="M20" s="269"/>
      <c r="N20" s="269"/>
      <c r="O20" s="269"/>
      <c r="P20" s="269"/>
      <c r="Q20" s="11" t="s">
        <v>13</v>
      </c>
    </row>
    <row r="21" spans="3:17" ht="27" customHeight="1" thickBot="1">
      <c r="C21" s="271" t="s">
        <v>32</v>
      </c>
      <c r="D21" s="272"/>
      <c r="E21" s="272"/>
      <c r="F21" s="272"/>
      <c r="G21" s="272"/>
      <c r="H21" s="272"/>
      <c r="I21" s="272"/>
      <c r="J21" s="285"/>
      <c r="K21" s="9">
        <v>1413</v>
      </c>
      <c r="L21" s="269">
        <f>+'BASE IMPONIBLE AT2023'!G37</f>
        <v>0</v>
      </c>
      <c r="M21" s="269"/>
      <c r="N21" s="269"/>
      <c r="O21" s="269"/>
      <c r="P21" s="269"/>
      <c r="Q21" s="11" t="s">
        <v>13</v>
      </c>
    </row>
    <row r="22" spans="3:17" ht="27" customHeight="1" thickBot="1">
      <c r="C22" s="271" t="s">
        <v>33</v>
      </c>
      <c r="D22" s="272"/>
      <c r="E22" s="272"/>
      <c r="F22" s="272"/>
      <c r="G22" s="272"/>
      <c r="H22" s="272"/>
      <c r="I22" s="272"/>
      <c r="J22" s="285"/>
      <c r="K22" s="9">
        <v>1414</v>
      </c>
      <c r="L22" s="269">
        <f>+'BASE IMPONIBLE AT2023'!G38</f>
        <v>0</v>
      </c>
      <c r="M22" s="269"/>
      <c r="N22" s="269"/>
      <c r="O22" s="269"/>
      <c r="P22" s="269"/>
      <c r="Q22" s="11" t="s">
        <v>13</v>
      </c>
    </row>
    <row r="23" spans="3:17" ht="27" customHeight="1" thickBot="1">
      <c r="C23" s="271" t="s">
        <v>34</v>
      </c>
      <c r="D23" s="272"/>
      <c r="E23" s="272"/>
      <c r="F23" s="272"/>
      <c r="G23" s="272"/>
      <c r="H23" s="272"/>
      <c r="I23" s="272"/>
      <c r="J23" s="285"/>
      <c r="K23" s="9">
        <v>1415</v>
      </c>
      <c r="L23" s="269">
        <f>+'BASE IMPONIBLE AT2023'!G39</f>
        <v>0</v>
      </c>
      <c r="M23" s="269"/>
      <c r="N23" s="269"/>
      <c r="O23" s="269"/>
      <c r="P23" s="269"/>
      <c r="Q23" s="11" t="s">
        <v>13</v>
      </c>
    </row>
    <row r="24" spans="3:17" ht="27" customHeight="1" thickBot="1">
      <c r="C24" s="286" t="s">
        <v>35</v>
      </c>
      <c r="D24" s="287"/>
      <c r="E24" s="287"/>
      <c r="F24" s="287"/>
      <c r="G24" s="287"/>
      <c r="H24" s="287"/>
      <c r="I24" s="287"/>
      <c r="J24" s="288"/>
      <c r="K24" s="9">
        <v>1416</v>
      </c>
      <c r="L24" s="269">
        <f>+'BASE IMPONIBLE AT2023'!G40</f>
        <v>0</v>
      </c>
      <c r="M24" s="269"/>
      <c r="N24" s="269"/>
      <c r="O24" s="269"/>
      <c r="P24" s="269"/>
      <c r="Q24" s="11" t="s">
        <v>13</v>
      </c>
    </row>
    <row r="25" spans="3:17" ht="27" customHeight="1" thickBot="1">
      <c r="C25" s="286" t="s">
        <v>36</v>
      </c>
      <c r="D25" s="287"/>
      <c r="E25" s="287"/>
      <c r="F25" s="287"/>
      <c r="G25" s="287"/>
      <c r="H25" s="287"/>
      <c r="I25" s="287"/>
      <c r="J25" s="288"/>
      <c r="K25" s="9">
        <v>1417</v>
      </c>
      <c r="L25" s="269">
        <f>+'BASE IMPONIBLE AT2023'!G41</f>
        <v>0</v>
      </c>
      <c r="M25" s="269"/>
      <c r="N25" s="269"/>
      <c r="O25" s="269"/>
      <c r="P25" s="269"/>
      <c r="Q25" s="11" t="s">
        <v>13</v>
      </c>
    </row>
    <row r="26" spans="3:17" ht="27" customHeight="1" thickBot="1">
      <c r="C26" s="286" t="s">
        <v>37</v>
      </c>
      <c r="D26" s="287"/>
      <c r="E26" s="287"/>
      <c r="F26" s="287"/>
      <c r="G26" s="287"/>
      <c r="H26" s="287"/>
      <c r="I26" s="287"/>
      <c r="J26" s="288"/>
      <c r="K26" s="9">
        <v>1418</v>
      </c>
      <c r="L26" s="269">
        <f>+'BASE IMPONIBLE AT2023'!G42</f>
        <v>0</v>
      </c>
      <c r="M26" s="269"/>
      <c r="N26" s="269"/>
      <c r="O26" s="269"/>
      <c r="P26" s="269"/>
      <c r="Q26" s="11" t="s">
        <v>13</v>
      </c>
    </row>
    <row r="27" spans="3:17" ht="27" customHeight="1" thickBot="1">
      <c r="C27" s="286" t="s">
        <v>38</v>
      </c>
      <c r="D27" s="287"/>
      <c r="E27" s="287"/>
      <c r="F27" s="287"/>
      <c r="G27" s="287"/>
      <c r="H27" s="287"/>
      <c r="I27" s="287"/>
      <c r="J27" s="288"/>
      <c r="K27" s="9">
        <v>1419</v>
      </c>
      <c r="L27" s="269">
        <f>+'BASE IMPONIBLE AT2023'!G43</f>
        <v>0</v>
      </c>
      <c r="M27" s="269"/>
      <c r="N27" s="269"/>
      <c r="O27" s="269"/>
      <c r="P27" s="269"/>
      <c r="Q27" s="11" t="s">
        <v>13</v>
      </c>
    </row>
    <row r="28" spans="3:17" ht="27" customHeight="1" thickBot="1">
      <c r="C28" s="286" t="s">
        <v>39</v>
      </c>
      <c r="D28" s="287"/>
      <c r="E28" s="287"/>
      <c r="F28" s="287"/>
      <c r="G28" s="287"/>
      <c r="H28" s="287"/>
      <c r="I28" s="287"/>
      <c r="J28" s="288"/>
      <c r="K28" s="9">
        <v>1420</v>
      </c>
      <c r="L28" s="269">
        <f>+'BASE IMPONIBLE AT2023'!G44</f>
        <v>0</v>
      </c>
      <c r="M28" s="269"/>
      <c r="N28" s="269"/>
      <c r="O28" s="269"/>
      <c r="P28" s="269"/>
      <c r="Q28" s="11" t="s">
        <v>13</v>
      </c>
    </row>
    <row r="29" spans="3:17" ht="27" customHeight="1" thickBot="1">
      <c r="C29" s="286" t="s">
        <v>40</v>
      </c>
      <c r="D29" s="287"/>
      <c r="E29" s="287"/>
      <c r="F29" s="287"/>
      <c r="G29" s="287"/>
      <c r="H29" s="287"/>
      <c r="I29" s="287"/>
      <c r="J29" s="288"/>
      <c r="K29" s="9">
        <v>1421</v>
      </c>
      <c r="L29" s="269">
        <f>+'BASE IMPONIBLE AT2023'!G45</f>
        <v>0</v>
      </c>
      <c r="M29" s="269"/>
      <c r="N29" s="269"/>
      <c r="O29" s="269"/>
      <c r="P29" s="269"/>
      <c r="Q29" s="11" t="s">
        <v>13</v>
      </c>
    </row>
    <row r="30" spans="3:17" ht="27" customHeight="1" thickBot="1">
      <c r="C30" s="286" t="s">
        <v>41</v>
      </c>
      <c r="D30" s="287"/>
      <c r="E30" s="287"/>
      <c r="F30" s="287"/>
      <c r="G30" s="287"/>
      <c r="H30" s="287"/>
      <c r="I30" s="287"/>
      <c r="J30" s="288"/>
      <c r="K30" s="9">
        <v>1422</v>
      </c>
      <c r="L30" s="269">
        <f>+'BASE IMPONIBLE AT2023'!G46</f>
        <v>0</v>
      </c>
      <c r="M30" s="269"/>
      <c r="N30" s="269"/>
      <c r="O30" s="269"/>
      <c r="P30" s="269"/>
      <c r="Q30" s="11" t="s">
        <v>13</v>
      </c>
    </row>
    <row r="31" spans="3:17" ht="27" customHeight="1" thickBot="1">
      <c r="C31" s="286" t="s">
        <v>42</v>
      </c>
      <c r="D31" s="287"/>
      <c r="E31" s="287"/>
      <c r="F31" s="287"/>
      <c r="G31" s="287"/>
      <c r="H31" s="287"/>
      <c r="I31" s="287"/>
      <c r="J31" s="288"/>
      <c r="K31" s="9">
        <v>1423</v>
      </c>
      <c r="L31" s="269">
        <f>+'BASE IMPONIBLE AT2023'!G47</f>
        <v>0</v>
      </c>
      <c r="M31" s="269"/>
      <c r="N31" s="269"/>
      <c r="O31" s="269"/>
      <c r="P31" s="269"/>
      <c r="Q31" s="11" t="s">
        <v>13</v>
      </c>
    </row>
    <row r="32" spans="3:17" ht="27" customHeight="1" thickBot="1">
      <c r="C32" s="286" t="s">
        <v>43</v>
      </c>
      <c r="D32" s="287"/>
      <c r="E32" s="287"/>
      <c r="F32" s="287"/>
      <c r="G32" s="287"/>
      <c r="H32" s="287"/>
      <c r="I32" s="287"/>
      <c r="J32" s="288"/>
      <c r="K32" s="9">
        <v>1424</v>
      </c>
      <c r="L32" s="269">
        <f>+'BASE IMPONIBLE AT2023'!G50</f>
        <v>80990618.210084036</v>
      </c>
      <c r="M32" s="269"/>
      <c r="N32" s="269"/>
      <c r="O32" s="269"/>
      <c r="P32" s="269"/>
      <c r="Q32" s="11" t="s">
        <v>13</v>
      </c>
    </row>
    <row r="33" spans="3:17" ht="35.450000000000003" customHeight="1" thickBot="1">
      <c r="C33" s="289" t="s">
        <v>44</v>
      </c>
      <c r="D33" s="290"/>
      <c r="E33" s="290"/>
      <c r="F33" s="290"/>
      <c r="G33" s="290"/>
      <c r="H33" s="290"/>
      <c r="I33" s="290"/>
      <c r="J33" s="290"/>
      <c r="K33" s="14">
        <v>1425</v>
      </c>
      <c r="L33" s="269">
        <f>+'BASE IMPONIBLE AT2023'!G49</f>
        <v>0</v>
      </c>
      <c r="M33" s="269"/>
      <c r="N33" s="269"/>
      <c r="O33" s="269"/>
      <c r="P33" s="269"/>
      <c r="Q33" s="15" t="s">
        <v>13</v>
      </c>
    </row>
    <row r="34" spans="3:17" ht="27" customHeight="1" thickBot="1">
      <c r="C34" s="289" t="s">
        <v>45</v>
      </c>
      <c r="D34" s="290"/>
      <c r="E34" s="290"/>
      <c r="F34" s="290"/>
      <c r="G34" s="290"/>
      <c r="H34" s="290"/>
      <c r="I34" s="290"/>
      <c r="J34" s="290"/>
      <c r="K34" s="14">
        <v>1426</v>
      </c>
      <c r="L34" s="269">
        <f>+'BASE IMPONIBLE AT2023'!G52</f>
        <v>19462247.298161387</v>
      </c>
      <c r="M34" s="269"/>
      <c r="N34" s="269"/>
      <c r="O34" s="269"/>
      <c r="P34" s="269"/>
      <c r="Q34" s="15" t="s">
        <v>13</v>
      </c>
    </row>
    <row r="35" spans="3:17" ht="27" customHeight="1" thickBot="1">
      <c r="C35" s="291" t="s">
        <v>46</v>
      </c>
      <c r="D35" s="292"/>
      <c r="E35" s="292"/>
      <c r="F35" s="292"/>
      <c r="G35" s="292"/>
      <c r="H35" s="292"/>
      <c r="I35" s="292"/>
      <c r="J35" s="292"/>
      <c r="K35" s="14">
        <v>1427</v>
      </c>
      <c r="L35" s="269"/>
      <c r="M35" s="269"/>
      <c r="N35" s="269"/>
      <c r="O35" s="269"/>
      <c r="P35" s="269"/>
      <c r="Q35" s="15" t="s">
        <v>13</v>
      </c>
    </row>
    <row r="36" spans="3:17" ht="27" customHeight="1" thickBot="1">
      <c r="C36" s="273" t="s">
        <v>3</v>
      </c>
      <c r="D36" s="274"/>
      <c r="E36" s="274"/>
      <c r="F36" s="274"/>
      <c r="G36" s="274"/>
      <c r="H36" s="274"/>
      <c r="I36" s="274"/>
      <c r="J36" s="274"/>
      <c r="K36" s="22">
        <v>1428</v>
      </c>
      <c r="L36" s="269"/>
      <c r="M36" s="269"/>
      <c r="N36" s="269"/>
      <c r="O36" s="269"/>
      <c r="P36" s="269"/>
      <c r="Q36" s="39" t="s">
        <v>13</v>
      </c>
    </row>
    <row r="37" spans="3:17" ht="27" customHeight="1" thickBot="1">
      <c r="C37" s="278" t="s">
        <v>47</v>
      </c>
      <c r="D37" s="279"/>
      <c r="E37" s="279"/>
      <c r="F37" s="279"/>
      <c r="G37" s="279"/>
      <c r="H37" s="279"/>
      <c r="I37" s="279"/>
      <c r="J37" s="280"/>
      <c r="K37" s="18">
        <v>1430</v>
      </c>
      <c r="L37" s="293">
        <f>SUM(L14:P33)+L35+L36+L34</f>
        <v>106056962.50824542</v>
      </c>
      <c r="M37" s="293"/>
      <c r="N37" s="293"/>
      <c r="O37" s="293"/>
      <c r="P37" s="293"/>
      <c r="Q37" s="23" t="s">
        <v>1</v>
      </c>
    </row>
    <row r="38" spans="3:17" ht="40.700000000000003" customHeight="1" thickBot="1">
      <c r="C38" s="294" t="s">
        <v>48</v>
      </c>
      <c r="D38" s="295"/>
      <c r="E38" s="295"/>
      <c r="F38" s="295"/>
      <c r="G38" s="295"/>
      <c r="H38" s="295"/>
      <c r="I38" s="295"/>
      <c r="J38" s="295"/>
      <c r="K38" s="40">
        <v>1431</v>
      </c>
      <c r="L38" s="296">
        <f>+'BASE IMPONIBLE AT2022'!G64</f>
        <v>0</v>
      </c>
      <c r="M38" s="296"/>
      <c r="N38" s="296"/>
      <c r="O38" s="296"/>
      <c r="P38" s="296"/>
      <c r="Q38" s="41" t="s">
        <v>0</v>
      </c>
    </row>
    <row r="39" spans="3:17" ht="56.45" customHeight="1" thickBot="1">
      <c r="C39" s="297" t="s">
        <v>49</v>
      </c>
      <c r="D39" s="298"/>
      <c r="E39" s="298"/>
      <c r="F39" s="298"/>
      <c r="G39" s="298"/>
      <c r="H39" s="298"/>
      <c r="I39" s="298"/>
      <c r="J39" s="299"/>
      <c r="K39" s="18">
        <v>1729</v>
      </c>
      <c r="L39" s="300">
        <f>+L13-L37+L38</f>
        <v>9270916.5841915309</v>
      </c>
      <c r="M39" s="301"/>
      <c r="N39" s="301"/>
      <c r="O39" s="301"/>
      <c r="P39" s="302"/>
      <c r="Q39" s="23" t="s">
        <v>1</v>
      </c>
    </row>
    <row r="40" spans="3:17" ht="27" customHeight="1">
      <c r="C40" s="291" t="s">
        <v>9</v>
      </c>
      <c r="D40" s="292"/>
      <c r="E40" s="292"/>
      <c r="F40" s="292"/>
      <c r="G40" s="292"/>
      <c r="H40" s="292"/>
      <c r="I40" s="292"/>
      <c r="J40" s="303"/>
      <c r="K40" s="14">
        <v>1432</v>
      </c>
      <c r="L40" s="304">
        <f>+'BASE IMPONIBLE AT2023'!G67</f>
        <v>4635458.2920957655</v>
      </c>
      <c r="M40" s="304"/>
      <c r="N40" s="304"/>
      <c r="O40" s="304"/>
      <c r="P40" s="304"/>
      <c r="Q40" s="15" t="s">
        <v>13</v>
      </c>
    </row>
    <row r="41" spans="3:17" ht="27" customHeight="1" thickBot="1">
      <c r="C41" s="273" t="s">
        <v>4</v>
      </c>
      <c r="D41" s="274"/>
      <c r="E41" s="274"/>
      <c r="F41" s="274"/>
      <c r="G41" s="274"/>
      <c r="H41" s="274"/>
      <c r="I41" s="274"/>
      <c r="J41" s="305"/>
      <c r="K41" s="22">
        <v>1433</v>
      </c>
      <c r="L41" s="304">
        <f>+'BASE IMPONIBLE AT2022'!G68</f>
        <v>0</v>
      </c>
      <c r="M41" s="304"/>
      <c r="N41" s="304"/>
      <c r="O41" s="304"/>
      <c r="P41" s="304"/>
      <c r="Q41" s="39" t="s">
        <v>13</v>
      </c>
    </row>
    <row r="42" spans="3:17" ht="41.45" customHeight="1" thickBot="1">
      <c r="C42" s="297" t="s">
        <v>50</v>
      </c>
      <c r="D42" s="298"/>
      <c r="E42" s="298"/>
      <c r="F42" s="298"/>
      <c r="G42" s="298"/>
      <c r="H42" s="298"/>
      <c r="I42" s="298"/>
      <c r="J42" s="298"/>
      <c r="K42" s="18">
        <v>1440</v>
      </c>
      <c r="L42" s="281">
        <f>+L39-L40-L41</f>
        <v>4635458.2920957655</v>
      </c>
      <c r="M42" s="281"/>
      <c r="N42" s="281"/>
      <c r="O42" s="281"/>
      <c r="P42" s="281"/>
      <c r="Q42" s="23" t="s">
        <v>1</v>
      </c>
    </row>
    <row r="43" spans="3:17" ht="27" customHeight="1" thickBot="1">
      <c r="C43" s="306" t="s">
        <v>5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8"/>
    </row>
    <row r="44" spans="3:17" ht="27" customHeight="1">
      <c r="C44" s="282" t="s">
        <v>6</v>
      </c>
      <c r="D44" s="283"/>
      <c r="E44" s="283"/>
      <c r="F44" s="283"/>
      <c r="G44" s="283"/>
      <c r="H44" s="283"/>
      <c r="I44" s="283"/>
      <c r="J44" s="284"/>
      <c r="K44" s="117">
        <v>1434</v>
      </c>
      <c r="L44" s="269"/>
      <c r="M44" s="269"/>
      <c r="N44" s="269"/>
      <c r="O44" s="269"/>
      <c r="P44" s="269"/>
      <c r="Q44" s="8" t="s">
        <v>0</v>
      </c>
    </row>
    <row r="45" spans="3:17" ht="40.700000000000003" customHeight="1" thickBot="1">
      <c r="C45" s="273" t="s">
        <v>7</v>
      </c>
      <c r="D45" s="274"/>
      <c r="E45" s="274"/>
      <c r="F45" s="274"/>
      <c r="G45" s="274"/>
      <c r="H45" s="274"/>
      <c r="I45" s="274"/>
      <c r="J45" s="274"/>
      <c r="K45" s="22">
        <v>1435</v>
      </c>
      <c r="L45" s="276"/>
      <c r="M45" s="276"/>
      <c r="N45" s="276"/>
      <c r="O45" s="276"/>
      <c r="P45" s="276"/>
      <c r="Q45" s="37" t="s">
        <v>0</v>
      </c>
    </row>
    <row r="46" spans="3:17" ht="27" customHeight="1" thickBot="1">
      <c r="C46" s="297" t="s">
        <v>8</v>
      </c>
      <c r="D46" s="298"/>
      <c r="E46" s="298"/>
      <c r="F46" s="298"/>
      <c r="G46" s="298"/>
      <c r="H46" s="298"/>
      <c r="I46" s="298"/>
      <c r="J46" s="299"/>
      <c r="K46" s="18">
        <v>1450</v>
      </c>
      <c r="L46" s="281"/>
      <c r="M46" s="281"/>
      <c r="N46" s="281"/>
      <c r="O46" s="281"/>
      <c r="P46" s="281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zoomScaleNormal="100" workbookViewId="0">
      <selection activeCell="L25" sqref="L25:P25"/>
    </sheetView>
  </sheetViews>
  <sheetFormatPr baseColWidth="10" defaultColWidth="11.5703125" defaultRowHeight="15"/>
  <cols>
    <col min="1" max="1" width="1.85546875" style="7" customWidth="1"/>
    <col min="2" max="2" width="4.5703125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218" customWidth="1"/>
    <col min="18" max="18" width="6" style="7" customWidth="1"/>
    <col min="19" max="19" width="9.140625" style="19" customWidth="1"/>
    <col min="20" max="20" width="7" style="7" customWidth="1"/>
    <col min="21" max="21" width="24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4.5703125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6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4.5703125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6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4.5703125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6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4.5703125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6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4.5703125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6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4.5703125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6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4.5703125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6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4.5703125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6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4.5703125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6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4.5703125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6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4.5703125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6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4.5703125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6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4.5703125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6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4.5703125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6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4.5703125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6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4.5703125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6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4.5703125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6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4.5703125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6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4.5703125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6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4.5703125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6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4.5703125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6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4.5703125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6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4.5703125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6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4.5703125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6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4.5703125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6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4.5703125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6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4.5703125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6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4.5703125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6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4.5703125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6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4.5703125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6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4.5703125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6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4.5703125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6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4.5703125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6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4.5703125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6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4.5703125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6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4.5703125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6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4.5703125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6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4.5703125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6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4.5703125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6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4.5703125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6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4.5703125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6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4.5703125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6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4.5703125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6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4.5703125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6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4.5703125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6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4.5703125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6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4.5703125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6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4.5703125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6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4.5703125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6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4.5703125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6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4.5703125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6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4.5703125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6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4.5703125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6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4.5703125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6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4.5703125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6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4.5703125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6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4.5703125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6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4.5703125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6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4.5703125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6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4.5703125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6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4.5703125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6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4.5703125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6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4.5703125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6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3" ht="15.75" thickBot="1"/>
    <row r="2" spans="3:23">
      <c r="C2" s="257" t="s">
        <v>218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10"/>
    </row>
    <row r="3" spans="3:23" ht="28.7" customHeight="1" thickBot="1">
      <c r="C3" s="311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3:23" ht="27" customHeight="1">
      <c r="C4" s="219" t="s">
        <v>219</v>
      </c>
      <c r="D4" s="220"/>
      <c r="E4" s="220"/>
      <c r="F4" s="220"/>
      <c r="G4" s="220"/>
      <c r="H4" s="220"/>
      <c r="I4" s="220"/>
      <c r="J4" s="220"/>
      <c r="K4" s="117">
        <v>1445</v>
      </c>
      <c r="L4" s="269"/>
      <c r="M4" s="269"/>
      <c r="N4" s="269"/>
      <c r="O4" s="269"/>
      <c r="P4" s="269"/>
      <c r="Q4" s="221" t="s">
        <v>0</v>
      </c>
      <c r="S4" s="19" t="s">
        <v>220</v>
      </c>
      <c r="V4" s="19"/>
      <c r="W4" s="19"/>
    </row>
    <row r="5" spans="3:23" ht="27" customHeight="1">
      <c r="C5" s="222" t="s">
        <v>221</v>
      </c>
      <c r="D5" s="223"/>
      <c r="E5" s="223"/>
      <c r="F5" s="223"/>
      <c r="G5" s="223"/>
      <c r="H5" s="223"/>
      <c r="I5" s="223"/>
      <c r="J5" s="223"/>
      <c r="K5" s="14">
        <v>1446</v>
      </c>
      <c r="L5" s="304">
        <f>+'R19 at22022'!L25:P25</f>
        <v>999584.29816138744</v>
      </c>
      <c r="M5" s="304"/>
      <c r="N5" s="304"/>
      <c r="O5" s="304"/>
      <c r="P5" s="304"/>
      <c r="Q5" s="224" t="s">
        <v>13</v>
      </c>
      <c r="S5" s="19" t="s">
        <v>220</v>
      </c>
      <c r="V5" s="19"/>
    </row>
    <row r="6" spans="3:23" ht="27" customHeight="1">
      <c r="C6" s="222" t="s">
        <v>222</v>
      </c>
      <c r="D6" s="223"/>
      <c r="E6" s="223"/>
      <c r="F6" s="223"/>
      <c r="G6" s="223"/>
      <c r="H6" s="223"/>
      <c r="I6" s="223"/>
      <c r="J6" s="223"/>
      <c r="K6" s="14">
        <v>1374</v>
      </c>
      <c r="L6" s="304"/>
      <c r="M6" s="304"/>
      <c r="N6" s="304"/>
      <c r="O6" s="304"/>
      <c r="P6" s="304"/>
      <c r="Q6" s="225" t="s">
        <v>0</v>
      </c>
      <c r="S6" s="19" t="s">
        <v>223</v>
      </c>
    </row>
    <row r="7" spans="3:23" ht="27" customHeight="1">
      <c r="C7" s="226" t="s">
        <v>224</v>
      </c>
      <c r="D7" s="227"/>
      <c r="E7" s="227"/>
      <c r="F7" s="227"/>
      <c r="G7" s="227"/>
      <c r="H7" s="227"/>
      <c r="I7" s="227"/>
      <c r="J7" s="227"/>
      <c r="K7" s="228">
        <v>1375</v>
      </c>
      <c r="L7" s="314"/>
      <c r="M7" s="314"/>
      <c r="N7" s="314"/>
      <c r="O7" s="314"/>
      <c r="P7" s="314"/>
      <c r="Q7" s="229" t="s">
        <v>0</v>
      </c>
    </row>
    <row r="8" spans="3:23" ht="27" customHeight="1">
      <c r="C8" s="315" t="s">
        <v>225</v>
      </c>
      <c r="D8" s="316"/>
      <c r="E8" s="316"/>
      <c r="F8" s="316"/>
      <c r="G8" s="316"/>
      <c r="H8" s="316"/>
      <c r="I8" s="316"/>
      <c r="J8" s="317"/>
      <c r="K8" s="14">
        <v>1376</v>
      </c>
      <c r="L8" s="318"/>
      <c r="M8" s="318"/>
      <c r="N8" s="318"/>
      <c r="O8" s="318"/>
      <c r="P8" s="318"/>
      <c r="Q8" s="230" t="s">
        <v>13</v>
      </c>
    </row>
    <row r="9" spans="3:23" ht="27" customHeight="1">
      <c r="C9" s="319" t="s">
        <v>226</v>
      </c>
      <c r="D9" s="320"/>
      <c r="E9" s="320"/>
      <c r="F9" s="320"/>
      <c r="G9" s="320"/>
      <c r="H9" s="320"/>
      <c r="I9" s="320"/>
      <c r="J9" s="321"/>
      <c r="K9" s="228">
        <v>1705</v>
      </c>
      <c r="L9" s="314">
        <f>+'BASE IMPONIBLE AT2023'!G74</f>
        <v>4635458.2920957655</v>
      </c>
      <c r="M9" s="314"/>
      <c r="N9" s="314"/>
      <c r="O9" s="314"/>
      <c r="P9" s="314"/>
      <c r="Q9" s="229" t="s">
        <v>0</v>
      </c>
      <c r="S9" s="19" t="s">
        <v>227</v>
      </c>
      <c r="U9" s="7" t="s">
        <v>228</v>
      </c>
    </row>
    <row r="10" spans="3:23" ht="27" customHeight="1">
      <c r="C10" s="315" t="s">
        <v>8</v>
      </c>
      <c r="D10" s="316"/>
      <c r="E10" s="316"/>
      <c r="F10" s="316"/>
      <c r="G10" s="316"/>
      <c r="H10" s="316"/>
      <c r="I10" s="316"/>
      <c r="J10" s="317"/>
      <c r="K10" s="14">
        <v>1706</v>
      </c>
      <c r="L10" s="318"/>
      <c r="M10" s="318"/>
      <c r="N10" s="318"/>
      <c r="O10" s="318"/>
      <c r="P10" s="318"/>
      <c r="Q10" s="230" t="s">
        <v>13</v>
      </c>
      <c r="S10" s="19" t="s">
        <v>229</v>
      </c>
    </row>
    <row r="11" spans="3:23" ht="27" customHeight="1">
      <c r="C11" s="222" t="s">
        <v>45</v>
      </c>
      <c r="D11" s="223"/>
      <c r="E11" s="223"/>
      <c r="F11" s="223"/>
      <c r="G11" s="223"/>
      <c r="H11" s="223"/>
      <c r="I11" s="223"/>
      <c r="J11" s="223"/>
      <c r="K11" s="14">
        <v>1707</v>
      </c>
      <c r="L11" s="304">
        <f>+'BASE IMPONIBLE AT2023'!G52</f>
        <v>19462247.298161387</v>
      </c>
      <c r="M11" s="304"/>
      <c r="N11" s="304"/>
      <c r="O11" s="304"/>
      <c r="P11" s="304"/>
      <c r="Q11" s="225" t="s">
        <v>0</v>
      </c>
      <c r="S11" s="19" t="s">
        <v>230</v>
      </c>
    </row>
    <row r="12" spans="3:23" ht="27" customHeight="1">
      <c r="C12" s="271" t="s">
        <v>231</v>
      </c>
      <c r="D12" s="272"/>
      <c r="E12" s="272"/>
      <c r="F12" s="272"/>
      <c r="G12" s="272"/>
      <c r="H12" s="272"/>
      <c r="I12" s="272"/>
      <c r="J12" s="272"/>
      <c r="K12" s="9">
        <v>1377</v>
      </c>
      <c r="L12" s="255"/>
      <c r="M12" s="255"/>
      <c r="N12" s="255"/>
      <c r="O12" s="255"/>
      <c r="P12" s="255"/>
      <c r="Q12" s="231" t="s">
        <v>0</v>
      </c>
    </row>
    <row r="13" spans="3:23" ht="27" customHeight="1">
      <c r="C13" s="286" t="s">
        <v>232</v>
      </c>
      <c r="D13" s="322"/>
      <c r="E13" s="322"/>
      <c r="F13" s="322"/>
      <c r="G13" s="322"/>
      <c r="H13" s="322"/>
      <c r="I13" s="322"/>
      <c r="J13" s="323"/>
      <c r="K13" s="9">
        <v>1378</v>
      </c>
      <c r="L13" s="255"/>
      <c r="M13" s="255"/>
      <c r="N13" s="255"/>
      <c r="O13" s="255"/>
      <c r="P13" s="255"/>
      <c r="Q13" s="232" t="s">
        <v>13</v>
      </c>
    </row>
    <row r="14" spans="3:23" ht="27" customHeight="1">
      <c r="C14" s="286" t="s">
        <v>233</v>
      </c>
      <c r="D14" s="322"/>
      <c r="E14" s="322"/>
      <c r="F14" s="322"/>
      <c r="G14" s="322"/>
      <c r="H14" s="322"/>
      <c r="I14" s="322"/>
      <c r="J14" s="323"/>
      <c r="K14" s="9">
        <v>1726</v>
      </c>
      <c r="L14" s="255"/>
      <c r="M14" s="255"/>
      <c r="N14" s="255"/>
      <c r="O14" s="255"/>
      <c r="P14" s="255"/>
      <c r="Q14" s="231" t="s">
        <v>0</v>
      </c>
    </row>
    <row r="15" spans="3:23" ht="27" customHeight="1">
      <c r="C15" s="271" t="s">
        <v>234</v>
      </c>
      <c r="D15" s="272"/>
      <c r="E15" s="272"/>
      <c r="F15" s="272"/>
      <c r="G15" s="272"/>
      <c r="H15" s="272"/>
      <c r="I15" s="272"/>
      <c r="J15" s="272"/>
      <c r="K15" s="9">
        <v>1591</v>
      </c>
      <c r="L15" s="255"/>
      <c r="M15" s="255"/>
      <c r="N15" s="255"/>
      <c r="O15" s="255"/>
      <c r="P15" s="255"/>
      <c r="Q15" s="232" t="s">
        <v>13</v>
      </c>
    </row>
    <row r="16" spans="3:23" ht="27" customHeight="1">
      <c r="C16" s="271" t="s">
        <v>235</v>
      </c>
      <c r="D16" s="272"/>
      <c r="E16" s="272"/>
      <c r="F16" s="272"/>
      <c r="G16" s="272"/>
      <c r="H16" s="272"/>
      <c r="I16" s="272"/>
      <c r="J16" s="285"/>
      <c r="K16" s="9">
        <v>1479</v>
      </c>
      <c r="L16" s="314"/>
      <c r="M16" s="314"/>
      <c r="N16" s="314"/>
      <c r="O16" s="314"/>
      <c r="P16" s="314"/>
      <c r="Q16" s="232" t="s">
        <v>13</v>
      </c>
    </row>
    <row r="17" spans="3:21" ht="27" customHeight="1">
      <c r="C17" s="271" t="s">
        <v>236</v>
      </c>
      <c r="D17" s="272"/>
      <c r="E17" s="272"/>
      <c r="F17" s="272"/>
      <c r="G17" s="272"/>
      <c r="H17" s="272"/>
      <c r="I17" s="272"/>
      <c r="J17" s="272"/>
      <c r="K17" s="9">
        <v>1708</v>
      </c>
      <c r="L17" s="255"/>
      <c r="M17" s="255"/>
      <c r="N17" s="255"/>
      <c r="O17" s="255"/>
      <c r="P17" s="255"/>
      <c r="Q17" s="232" t="s">
        <v>13</v>
      </c>
    </row>
    <row r="18" spans="3:21" ht="27" customHeight="1">
      <c r="C18" s="271" t="s">
        <v>237</v>
      </c>
      <c r="D18" s="272"/>
      <c r="E18" s="272"/>
      <c r="F18" s="272"/>
      <c r="G18" s="272"/>
      <c r="H18" s="272"/>
      <c r="I18" s="272"/>
      <c r="J18" s="272"/>
      <c r="K18" s="9">
        <v>1709</v>
      </c>
      <c r="L18" s="255"/>
      <c r="M18" s="255"/>
      <c r="N18" s="255"/>
      <c r="O18" s="255"/>
      <c r="P18" s="255"/>
      <c r="Q18" s="232" t="s">
        <v>13</v>
      </c>
    </row>
    <row r="19" spans="3:21" ht="27" customHeight="1">
      <c r="C19" s="286" t="s">
        <v>238</v>
      </c>
      <c r="D19" s="322"/>
      <c r="E19" s="322"/>
      <c r="F19" s="322"/>
      <c r="G19" s="322"/>
      <c r="H19" s="322"/>
      <c r="I19" s="322"/>
      <c r="J19" s="323"/>
      <c r="K19" s="9">
        <v>1379</v>
      </c>
      <c r="L19" s="255"/>
      <c r="M19" s="255"/>
      <c r="N19" s="255"/>
      <c r="O19" s="255"/>
      <c r="P19" s="255"/>
      <c r="Q19" s="232" t="s">
        <v>13</v>
      </c>
    </row>
    <row r="20" spans="3:21" ht="27" customHeight="1">
      <c r="C20" s="233" t="s">
        <v>9</v>
      </c>
      <c r="D20" s="17"/>
      <c r="E20" s="17"/>
      <c r="F20" s="17"/>
      <c r="G20" s="17"/>
      <c r="H20" s="17"/>
      <c r="I20" s="17"/>
      <c r="J20" s="17"/>
      <c r="K20" s="9">
        <v>1710</v>
      </c>
      <c r="L20" s="255">
        <f>+'BASE IMPONIBLE AT2023'!G67</f>
        <v>4635458.2920957655</v>
      </c>
      <c r="M20" s="255"/>
      <c r="N20" s="255"/>
      <c r="O20" s="255"/>
      <c r="P20" s="255"/>
      <c r="Q20" s="231" t="s">
        <v>0</v>
      </c>
    </row>
    <row r="21" spans="3:21" ht="27" customHeight="1">
      <c r="C21" s="286" t="s">
        <v>239</v>
      </c>
      <c r="D21" s="322"/>
      <c r="E21" s="322"/>
      <c r="F21" s="322"/>
      <c r="G21" s="322"/>
      <c r="H21" s="322"/>
      <c r="I21" s="322"/>
      <c r="J21" s="323"/>
      <c r="K21" s="9">
        <v>1711</v>
      </c>
      <c r="L21" s="255"/>
      <c r="M21" s="255"/>
      <c r="N21" s="255"/>
      <c r="O21" s="255"/>
      <c r="P21" s="255"/>
      <c r="Q21" s="231" t="s">
        <v>0</v>
      </c>
    </row>
    <row r="22" spans="3:21" ht="27" customHeight="1">
      <c r="C22" s="36" t="s">
        <v>240</v>
      </c>
      <c r="D22" s="17"/>
      <c r="E22" s="17"/>
      <c r="F22" s="17"/>
      <c r="G22" s="17"/>
      <c r="H22" s="17"/>
      <c r="I22" s="17"/>
      <c r="J22" s="17"/>
      <c r="K22" s="9">
        <v>1380</v>
      </c>
      <c r="L22" s="255"/>
      <c r="M22" s="255"/>
      <c r="N22" s="255"/>
      <c r="O22" s="255"/>
      <c r="P22" s="255"/>
      <c r="Q22" s="231" t="s">
        <v>0</v>
      </c>
    </row>
    <row r="23" spans="3:21" ht="27" customHeight="1" thickBot="1">
      <c r="C23" s="234" t="s">
        <v>241</v>
      </c>
      <c r="D23" s="235"/>
      <c r="E23" s="235"/>
      <c r="F23" s="235"/>
      <c r="G23" s="235"/>
      <c r="H23" s="235"/>
      <c r="I23" s="235"/>
      <c r="J23" s="235"/>
      <c r="K23" s="22">
        <v>1381</v>
      </c>
      <c r="L23" s="276"/>
      <c r="M23" s="276"/>
      <c r="N23" s="276"/>
      <c r="O23" s="276"/>
      <c r="P23" s="276"/>
      <c r="Q23" s="236" t="s">
        <v>13</v>
      </c>
    </row>
    <row r="24" spans="3:21" ht="27" customHeight="1" thickBot="1">
      <c r="C24" s="324" t="s">
        <v>242</v>
      </c>
      <c r="D24" s="325"/>
      <c r="E24" s="325"/>
      <c r="F24" s="325"/>
      <c r="G24" s="325"/>
      <c r="H24" s="325"/>
      <c r="I24" s="325"/>
      <c r="J24" s="326"/>
      <c r="K24" s="18">
        <v>1545</v>
      </c>
      <c r="L24" s="281">
        <f>+L9+L11+L20-L5</f>
        <v>27733579.584191531</v>
      </c>
      <c r="M24" s="281"/>
      <c r="N24" s="281"/>
      <c r="O24" s="281"/>
      <c r="P24" s="281"/>
      <c r="Q24" s="237" t="s">
        <v>1</v>
      </c>
      <c r="U24" s="238">
        <f>+L24</f>
        <v>27733579.584191531</v>
      </c>
    </row>
    <row r="25" spans="3:21" ht="27" customHeight="1" thickBot="1">
      <c r="C25" s="324" t="s">
        <v>243</v>
      </c>
      <c r="D25" s="325"/>
      <c r="E25" s="325"/>
      <c r="F25" s="325"/>
      <c r="G25" s="325"/>
      <c r="H25" s="325"/>
      <c r="I25" s="325"/>
      <c r="J25" s="326"/>
      <c r="K25" s="18">
        <v>1546</v>
      </c>
      <c r="L25" s="281"/>
      <c r="M25" s="281"/>
      <c r="N25" s="281"/>
      <c r="O25" s="281"/>
      <c r="P25" s="281"/>
      <c r="Q25" s="237" t="s">
        <v>1</v>
      </c>
      <c r="U25" s="238">
        <f>+L25</f>
        <v>0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ANTECEDENTES  </vt:lpstr>
      <vt:lpstr>BALANCE AÑO 2020</vt:lpstr>
      <vt:lpstr>BASE IMPONIBLE AT 2021</vt:lpstr>
      <vt:lpstr>R17 AT 2O21</vt:lpstr>
      <vt:lpstr>R19 at2021 </vt:lpstr>
      <vt:lpstr>BALANCE AÑO 2021</vt:lpstr>
      <vt:lpstr>BASE IMPONIBLE AT2022</vt:lpstr>
      <vt:lpstr>R17 AT2022</vt:lpstr>
      <vt:lpstr>R19 at22022</vt:lpstr>
      <vt:lpstr>BALANCE AÑO 2022</vt:lpstr>
      <vt:lpstr>BASE IMPONIBLE AT2023</vt:lpstr>
      <vt:lpstr>R17 AT2023</vt:lpstr>
      <vt:lpstr>R19 at22023</vt:lpstr>
      <vt:lpstr>'R17 AT 2O21'!Área_de_impresión</vt:lpstr>
      <vt:lpstr>'R17 AT2022'!Área_de_impresión</vt:lpstr>
      <vt:lpstr>'R17 AT2023'!Área_de_impresión</vt:lpstr>
      <vt:lpstr>'R19 at2021 '!Área_de_impresión</vt:lpstr>
      <vt:lpstr>'R19 at22022'!Área_de_impresión</vt:lpstr>
      <vt:lpstr>'R19 at22023'!Área_de_impresión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2023-10-23T00:36:28Z</dcterms:modified>
</cp:coreProperties>
</file>