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4\Declaraciones Juradas 2024\"/>
    </mc:Choice>
  </mc:AlternateContent>
  <bookViews>
    <workbookView xWindow="0" yWindow="0" windowWidth="20490" windowHeight="6750" tabRatio="598" firstSheet="2" activeTab="6"/>
  </bookViews>
  <sheets>
    <sheet name="antecedentes" sheetId="4" r:id="rId1"/>
    <sheet name="LIBRO REMUNERACIONES" sheetId="2" r:id="rId2"/>
    <sheet name="certificado sueldo" sheetId="3" r:id="rId3"/>
    <sheet name="F1887" sheetId="1" r:id="rId4"/>
    <sheet name="balance 2023 " sheetId="5" r:id="rId5"/>
    <sheet name="base imponible  at 2024" sheetId="6" r:id="rId6"/>
    <sheet name="R17 14 D3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b" localSheetId="4">#REF!</definedName>
    <definedName name="\b" localSheetId="5">#REF!</definedName>
    <definedName name="\b" localSheetId="6">#REF!</definedName>
    <definedName name="\b">#REF!</definedName>
    <definedName name="\z" localSheetId="4">#REF!</definedName>
    <definedName name="\z" localSheetId="5">#REF!</definedName>
    <definedName name="\z" localSheetId="6">#REF!</definedName>
    <definedName name="\z">#REF!</definedName>
    <definedName name="__??" localSheetId="5" hidden="1">{#N/A,#N/A,FALSE,"Cover (Japan)";#N/A,#N/A,FALSE,"Index";#N/A,#N/A,FALSE,"Comment sum"}</definedName>
    <definedName name="__??" hidden="1">{#N/A,#N/A,FALSE,"Cover (Japan)";#N/A,#N/A,FALSE,"Index";#N/A,#N/A,FALSE,"Comment sum"}</definedName>
    <definedName name="___??" localSheetId="5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localSheetId="5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localSheetId="5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localSheetId="5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localSheetId="5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PPM1" localSheetId="5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localSheetId="5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localSheetId="5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localSheetId="5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localSheetId="5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localSheetId="5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localSheetId="5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localSheetId="5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localSheetId="5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localSheetId="5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localSheetId="5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localSheetId="5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localSheetId="5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localSheetId="5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A2" localSheetId="5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localSheetId="5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localSheetId="5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localSheetId="5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localSheetId="5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4" hidden="1">'[4]1st Quarter'!#REF!</definedName>
    <definedName name="__123Graph_A" localSheetId="5" hidden="1">'[4]1st Quarter'!#REF!</definedName>
    <definedName name="__123Graph_A" hidden="1">'[4]1st Quarter'!#REF!</definedName>
    <definedName name="__123Graph_B" localSheetId="4" hidden="1">'[4]1st Quarter'!#REF!</definedName>
    <definedName name="__123Graph_B" localSheetId="5" hidden="1">'[4]1st Quarter'!#REF!</definedName>
    <definedName name="__123Graph_B" hidden="1">'[4]1st Quarter'!#REF!</definedName>
    <definedName name="__123Graph_C" localSheetId="4" hidden="1">'[4]1st Quarter'!#REF!</definedName>
    <definedName name="__123Graph_C" localSheetId="5" hidden="1">'[4]1st Quarter'!#REF!</definedName>
    <definedName name="__123Graph_C" hidden="1">'[4]1st Quarter'!#REF!</definedName>
    <definedName name="__123Graph_D" localSheetId="4" hidden="1">'[4]1st Quarter'!#REF!</definedName>
    <definedName name="__123Graph_D" localSheetId="5" hidden="1">'[4]1st Quarter'!#REF!</definedName>
    <definedName name="__123Graph_D" hidden="1">'[4]1st Quarter'!#REF!</definedName>
    <definedName name="__123Graph_E" localSheetId="4" hidden="1">'[4]1st Quarter'!#REF!</definedName>
    <definedName name="__123Graph_E" localSheetId="5" hidden="1">'[4]1st Quarter'!#REF!</definedName>
    <definedName name="__123Graph_E" hidden="1">'[4]1st Quarter'!#REF!</definedName>
    <definedName name="__123Graph_F" localSheetId="4" hidden="1">'[4]1st Quarter'!#REF!</definedName>
    <definedName name="__123Graph_F" localSheetId="5" hidden="1">'[4]1st Quarter'!#REF!</definedName>
    <definedName name="__123Graph_F" hidden="1">'[4]1st Quarter'!#REF!</definedName>
    <definedName name="__123Graph_LBL_A" localSheetId="4" hidden="1">'[5]7_6'!#REF!</definedName>
    <definedName name="__123Graph_LBL_A" localSheetId="5" hidden="1">'[5]7_6'!#REF!</definedName>
    <definedName name="__123Graph_LBL_A" hidden="1">'[5]7_6'!#REF!</definedName>
    <definedName name="__123Graph_LBL_AGraph1" localSheetId="4" hidden="1">'[5]7_6'!#REF!</definedName>
    <definedName name="__123Graph_LBL_AGraph1" localSheetId="5" hidden="1">'[5]7_6'!#REF!</definedName>
    <definedName name="__123Graph_LBL_AGraph1" hidden="1">'[5]7_6'!#REF!</definedName>
    <definedName name="__123Graph_LBL_B" localSheetId="4" hidden="1">'[5]7_6'!#REF!</definedName>
    <definedName name="__123Graph_LBL_B" localSheetId="5" hidden="1">'[5]7_6'!#REF!</definedName>
    <definedName name="__123Graph_LBL_B" hidden="1">'[5]7_6'!#REF!</definedName>
    <definedName name="__123Graph_LBL_BGraph1" localSheetId="4" hidden="1">'[5]7_6'!#REF!</definedName>
    <definedName name="__123Graph_LBL_BGraph1" localSheetId="5" hidden="1">'[5]7_6'!#REF!</definedName>
    <definedName name="__123Graph_LBL_BGraph1" hidden="1">'[5]7_6'!#REF!</definedName>
    <definedName name="__123Graph_X" localSheetId="4" hidden="1">'[4]1st Quarter'!#REF!</definedName>
    <definedName name="__123Graph_X" localSheetId="5" hidden="1">'[4]1st Quarter'!#REF!</definedName>
    <definedName name="__123Graph_X" hidden="1">'[4]1st Quarter'!#REF!</definedName>
    <definedName name="__A2" localSheetId="5" hidden="1">{#N/A,#N/A,FALSE,"Aging Summary";#N/A,#N/A,FALSE,"Ratio Analysis";#N/A,#N/A,FALSE,"Test 120 Day Accts";#N/A,#N/A,FALSE,"Tickmarks"}</definedName>
    <definedName name="__A2" hidden="1">{#N/A,#N/A,FALSE,"Aging Summary";#N/A,#N/A,FALSE,"Ratio Analysis";#N/A,#N/A,FALSE,"Test 120 Day Accts";#N/A,#N/A,FALSE,"Tickmarks"}</definedName>
    <definedName name="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localSheetId="5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localSheetId="5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t8" localSheetId="5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localSheetId="5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[6]Exh5_1!$D$26:$D$27</definedName>
    <definedName name="_2_??" localSheetId="5" hidden="1">{#N/A,#N/A,FALSE,"Cover (Japan)";#N/A,#N/A,FALSE,"Index";#N/A,#N/A,FALSE,"Comment sum"}</definedName>
    <definedName name="_2_??" hidden="1">{#N/A,#N/A,FALSE,"Cover (Japan)";#N/A,#N/A,FALSE,"Index";#N/A,#N/A,FALSE,"Comment sum"}</definedName>
    <definedName name="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4" hidden="1">#REF!</definedName>
    <definedName name="_Dist_Values" localSheetId="5" hidden="1">#REF!</definedName>
    <definedName name="_Dist_Values" hidden="1">#REF!</definedName>
    <definedName name="_Fill" localSheetId="4" hidden="1">#REF!</definedName>
    <definedName name="_Fill" localSheetId="5" hidden="1">#REF!</definedName>
    <definedName name="_Fill" hidden="1">#REF!</definedName>
    <definedName name="_fut2" localSheetId="5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4" hidden="1">[7]UF!#REF!</definedName>
    <definedName name="_Key01" localSheetId="5" hidden="1">[7]UF!#REF!</definedName>
    <definedName name="_Key01" hidden="1">[7]UF!#REF!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hidden="1">#REF!</definedName>
    <definedName name="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4" hidden="1">#REF!</definedName>
    <definedName name="_Parse_Out" localSheetId="5" hidden="1">#REF!</definedName>
    <definedName name="_Parse_Out" hidden="1">#REF!</definedName>
    <definedName name="_PPM1" localSheetId="5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5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localSheetId="5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Sort" localSheetId="4" hidden="1">#REF!</definedName>
    <definedName name="_Sort" localSheetId="5" hidden="1">#REF!</definedName>
    <definedName name="_Sort" hidden="1">#REF!</definedName>
    <definedName name="_Sort01" localSheetId="4" hidden="1">[7]UF!#REF!</definedName>
    <definedName name="_Sort01" localSheetId="5" hidden="1">[7]UF!#REF!</definedName>
    <definedName name="_Sort01" hidden="1">[7]UF!#REF!</definedName>
    <definedName name="_t4" localSheetId="5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localSheetId="5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4">#REF!</definedName>
    <definedName name="aa" localSheetId="5">#REF!</definedName>
    <definedName name="aa" localSheetId="3">#REF!</definedName>
    <definedName name="aa" localSheetId="6">#REF!</definedName>
    <definedName name="aa">#REF!</definedName>
    <definedName name="aaa" localSheetId="4">#REF!</definedName>
    <definedName name="aaa" localSheetId="5">#REF!</definedName>
    <definedName name="aaa" localSheetId="3">#REF!</definedName>
    <definedName name="aaa" localSheetId="6">#REF!</definedName>
    <definedName name="aaa">#REF!</definedName>
    <definedName name="aaaa" localSheetId="4">#REF!</definedName>
    <definedName name="aaaa" localSheetId="5">#REF!</definedName>
    <definedName name="aaaa" localSheetId="3">#REF!</definedName>
    <definedName name="aaaa" localSheetId="6">#REF!</definedName>
    <definedName name="aaaa">#REF!</definedName>
    <definedName name="adfadf" localSheetId="5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GOSTO" localSheetId="5" hidden="1">{"'ICE  Agosto'!$A$60:$A$64","'ICE  Agosto'!$C$67"}</definedName>
    <definedName name="AGOSTO" hidden="1">{"'ICE  Agosto'!$A$60:$A$64","'ICE  Agosto'!$C$67"}</definedName>
    <definedName name="ALE" localSheetId="5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jandrita" localSheetId="5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localSheetId="5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localSheetId="5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6">'R17 14 D3'!$C$2:$Q$46</definedName>
    <definedName name="AS2DocOpenMode" hidden="1">"AS2DocumentEdit"</definedName>
    <definedName name="AS2NamedRange" hidden="1">2</definedName>
    <definedName name="AS2ReportLS" hidden="1">1</definedName>
    <definedName name="AS2StaticLS" localSheetId="4" hidden="1">#REF!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ad" localSheetId="5" hidden="1">{#N/A,#N/A,FALSE,"Aging Summary";#N/A,#N/A,FALSE,"Ratio Analysis";#N/A,#N/A,FALSE,"Test 120 Day Accts";#N/A,#N/A,FALSE,"Tickmarks"}</definedName>
    <definedName name="asdad" hidden="1">{#N/A,#N/A,FALSE,"Aging Summary";#N/A,#N/A,FALSE,"Ratio Analysis";#N/A,#N/A,FALSE,"Test 120 Day Accts";#N/A,#N/A,FALSE,"Tickmarks"}</definedName>
    <definedName name="asdaqsd" localSheetId="5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5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localSheetId="5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5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localSheetId="5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P1B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[8]definiciones!$G$1:$G$35</definedName>
    <definedName name="casa" localSheetId="4">#REF!</definedName>
    <definedName name="casa" localSheetId="5">#REF!</definedName>
    <definedName name="casa" localSheetId="3">#REF!</definedName>
    <definedName name="casa" localSheetId="6">#REF!</definedName>
    <definedName name="casa">#REF!</definedName>
    <definedName name="CBDDSDSGSE" localSheetId="4">#REF!</definedName>
    <definedName name="CBDDSDSGSE" localSheetId="5">#REF!</definedName>
    <definedName name="CBDDSDSGSE" localSheetId="6">#REF!</definedName>
    <definedName name="CBDDSDSGSE">#REF!</definedName>
    <definedName name="CC" localSheetId="4">#REF!</definedName>
    <definedName name="CC" localSheetId="5">#REF!</definedName>
    <definedName name="CC" localSheetId="6">#REF!</definedName>
    <definedName name="CC">#REF!</definedName>
    <definedName name="CCCC" localSheetId="4">[9]bien!#REF!</definedName>
    <definedName name="CCCC" localSheetId="5">[9]bien!#REF!</definedName>
    <definedName name="CCCC" localSheetId="6">[9]bien!#REF!</definedName>
    <definedName name="CCCC">[9]bien!#REF!</definedName>
    <definedName name="CCCCC" localSheetId="4">[9]bien!#REF!</definedName>
    <definedName name="CCCCC" localSheetId="5">[9]bien!#REF!</definedName>
    <definedName name="CCCCC" localSheetId="6">[9]bien!#REF!</definedName>
    <definedName name="CCCCC">[9]bien!#REF!</definedName>
    <definedName name="CERTIFICADO" localSheetId="4">#REF!</definedName>
    <definedName name="CERTIFICADO" localSheetId="5">#REF!</definedName>
    <definedName name="CERTIFICADO" localSheetId="3">#REF!</definedName>
    <definedName name="CERTIFICADO" localSheetId="6">#REF!</definedName>
    <definedName name="CERTIFICADO">#REF!</definedName>
    <definedName name="claud" localSheetId="5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olor">[8]definiciones!$B$2:$B$3</definedName>
    <definedName name="CPF" localSheetId="5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T" localSheetId="5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localSheetId="5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localSheetId="5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5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5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4">#REF!</definedName>
    <definedName name="DD" localSheetId="5">#REF!</definedName>
    <definedName name="DD" localSheetId="6">#REF!</definedName>
    <definedName name="DD">#REF!</definedName>
    <definedName name="DDD" localSheetId="5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d" localSheetId="5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localSheetId="5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4">#REF!</definedName>
    <definedName name="DFF" localSheetId="5">#REF!</definedName>
    <definedName name="DFF" localSheetId="6">#REF!</definedName>
    <definedName name="DFF">#REF!</definedName>
    <definedName name="DFFFD" localSheetId="4">#REF!</definedName>
    <definedName name="DFFFD" localSheetId="5">#REF!</definedName>
    <definedName name="DFFFD" localSheetId="6">#REF!</definedName>
    <definedName name="DFFFD">#REF!</definedName>
    <definedName name="DFG" localSheetId="4" hidden="1">#REF!</definedName>
    <definedName name="DFG" localSheetId="5" hidden="1">#REF!</definedName>
    <definedName name="DFG" hidden="1">#REF!</definedName>
    <definedName name="DIF" localSheetId="5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usdis" localSheetId="5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localSheetId="5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4">#REF!</definedName>
    <definedName name="DOS" localSheetId="5">#REF!</definedName>
    <definedName name="DOS" localSheetId="6">#REF!</definedName>
    <definedName name="DOS">#REF!</definedName>
    <definedName name="EBITYTDBud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4">#REF!</definedName>
    <definedName name="EDEE" localSheetId="5">#REF!</definedName>
    <definedName name="EDEE" localSheetId="6">#REF!</definedName>
    <definedName name="EDEE">#REF!</definedName>
    <definedName name="ee" localSheetId="5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ee" localSheetId="5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localSheetId="5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localSheetId="5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localSheetId="5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>#REF!</definedName>
    <definedName name="eXHD" localSheetId="5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'[9]calculos planilla'!$A$2:$M$134</definedName>
    <definedName name="fdf" localSheetId="5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echa">[9]bien!$F$8</definedName>
    <definedName name="fecha_act" localSheetId="4">[9]bien!#REF!</definedName>
    <definedName name="fecha_act" localSheetId="5">[9]bien!#REF!</definedName>
    <definedName name="fecha_act" localSheetId="6">[9]bien!#REF!</definedName>
    <definedName name="fecha_act">[9]bien!#REF!</definedName>
    <definedName name="feo" localSheetId="5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F" localSheetId="4">#REF!</definedName>
    <definedName name="FF" localSheetId="5">#REF!</definedName>
    <definedName name="FF" localSheetId="6">#REF!</definedName>
    <definedName name="FF">#REF!</definedName>
    <definedName name="FFF" localSheetId="4">#REF!</definedName>
    <definedName name="FFF" localSheetId="5">#REF!</definedName>
    <definedName name="FFF" localSheetId="6">#REF!</definedName>
    <definedName name="FFF">#REF!</definedName>
    <definedName name="FFFF" localSheetId="4">[9]bien!#REF!</definedName>
    <definedName name="FFFF" localSheetId="5">[9]bien!#REF!</definedName>
    <definedName name="FFFF" localSheetId="6">[9]bien!#REF!</definedName>
    <definedName name="FFFF">[9]bien!#REF!</definedName>
    <definedName name="fondos" localSheetId="5">[8]definiciones!#REF!</definedName>
    <definedName name="fondos">[8]definiciones!#REF!</definedName>
    <definedName name="formato">[8]definiciones!$D$2:$D$5</definedName>
    <definedName name="FUT_2000" localSheetId="5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g" localSheetId="4">#REF!</definedName>
    <definedName name="g" localSheetId="5">#REF!</definedName>
    <definedName name="g" localSheetId="3">#REF!</definedName>
    <definedName name="g" localSheetId="6">#REF!</definedName>
    <definedName name="g">#REF!</definedName>
    <definedName name="Gasto_Fijo__GF" localSheetId="4">'[10]BD Compras'!#REF!</definedName>
    <definedName name="Gasto_Fijo__GF" localSheetId="5">'[10]BD Compras'!#REF!</definedName>
    <definedName name="Gasto_Fijo__GF">'[10]BD Compras'!#REF!</definedName>
    <definedName name="GC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5" hidden="1">{"'ICE  Agosto'!$A$60:$A$64","'ICE  Agosto'!$C$67"}</definedName>
    <definedName name="gg" hidden="1">{"'ICE  Agosto'!$A$60:$A$64","'ICE  Agosto'!$C$67"}</definedName>
    <definedName name="ｇｇ" localSheetId="5" hidden="1">{#N/A,#N/A,FALSE,"Cover (Japan)";#N/A,#N/A,FALSE,"Index";#N/A,#N/A,FALSE,"Comment sum"}</definedName>
    <definedName name="ｇｇ" hidden="1">{#N/A,#N/A,FALSE,"Cover (Japan)";#N/A,#N/A,FALSE,"Index";#N/A,#N/A,FALSE,"Comment sum"}</definedName>
    <definedName name="ggg" localSheetId="4">#REF!</definedName>
    <definedName name="ggg" localSheetId="5">#REF!</definedName>
    <definedName name="ggg" localSheetId="6">#REF!</definedName>
    <definedName name="ggg">#REF!</definedName>
    <definedName name="gggggggggggggggggggggggggg" localSheetId="5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uion">[8]definiciones!$F$2:$F$3</definedName>
    <definedName name="GVKey">""</definedName>
    <definedName name="GVV" localSheetId="5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4">#REF!</definedName>
    <definedName name="HGHHH" localSheetId="5">#REF!</definedName>
    <definedName name="HGHHH" localSheetId="6">#REF!</definedName>
    <definedName name="HGHHH">#REF!</definedName>
    <definedName name="hhh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4">#REF!</definedName>
    <definedName name="HHHH" localSheetId="5">#REF!</definedName>
    <definedName name="HHHH" localSheetId="6">#REF!</definedName>
    <definedName name="HHHH">#REF!</definedName>
    <definedName name="hhhhh" localSheetId="5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jjkjkj" localSheetId="5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localSheetId="5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localSheetId="5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[9]bien!$F$11</definedName>
    <definedName name="hj" localSheetId="5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KKKKK" localSheetId="5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localSheetId="5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localSheetId="5" hidden="1">{"'ICE  Agosto'!$A$60:$A$64","'ICE  Agosto'!$C$67"}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localSheetId="5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localSheetId="5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localSheetId="5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localSheetId="5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localSheetId="5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localSheetId="5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localSheetId="5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localSheetId="5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4">'[10]BD Compras'!#REF!</definedName>
    <definedName name="Industrial__I" localSheetId="5">'[10]BD Compras'!#REF!</definedName>
    <definedName name="Industrial__I">'[10]BD Compras'!#REF!</definedName>
    <definedName name="inicial">'[9]calculos planilla'!$S$3:$U$14</definedName>
    <definedName name="insumos" localSheetId="4" hidden="1">#REF!</definedName>
    <definedName name="insumos" localSheetId="5" hidden="1">#REF!</definedName>
    <definedName name="insumos" hidden="1">#REF!</definedName>
    <definedName name="Inv" localSheetId="5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ERSION" localSheetId="4">#REF!</definedName>
    <definedName name="INVERSION" localSheetId="5">#REF!</definedName>
    <definedName name="INVERSION" localSheetId="3">#REF!</definedName>
    <definedName name="INVERSION" localSheetId="6">#REF!</definedName>
    <definedName name="INVERSION">#REF!</definedName>
    <definedName name="ipc">'[9]calculos planilla'!$P$3:$Q$146</definedName>
    <definedName name="IUUIIU" localSheetId="5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jj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localSheetId="5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localSheetId="5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KJKLKJLKLÑL" localSheetId="5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localSheetId="5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5">#REF!</definedName>
    <definedName name="JR_PAGE_ANCHOR_0_1">#REF!</definedName>
    <definedName name="k" localSheetId="5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fh" localSheetId="5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localSheetId="5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5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localSheetId="5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localSheetId="5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localSheetId="5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localSheetId="5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localSheetId="5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4">#REF!</definedName>
    <definedName name="matriz" localSheetId="5">#REF!</definedName>
    <definedName name="matriz" localSheetId="6">#REF!</definedName>
    <definedName name="matriz">#REF!</definedName>
    <definedName name="matriz2" localSheetId="4">#REF!</definedName>
    <definedName name="matriz2" localSheetId="5">#REF!</definedName>
    <definedName name="matriz2" localSheetId="6">#REF!</definedName>
    <definedName name="matriz2">#REF!</definedName>
    <definedName name="mio" localSheetId="5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klkl" localSheetId="5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4">#REF!</definedName>
    <definedName name="mmm" localSheetId="5">#REF!</definedName>
    <definedName name="mmm" localSheetId="3">#REF!</definedName>
    <definedName name="mmm" localSheetId="6">#REF!</definedName>
    <definedName name="mmm">#REF!</definedName>
    <definedName name="NEW" localSheetId="4" hidden="1">#REF!</definedName>
    <definedName name="NEW" localSheetId="5" hidden="1">#REF!</definedName>
    <definedName name="NEW" hidden="1">#REF!</definedName>
    <definedName name="Nota9" localSheetId="5" hidden="1">{#N/A,#N/A,FALSE,"Aging Summary";#N/A,#N/A,FALSE,"Ratio Analysis";#N/A,#N/A,FALSE,"Test 120 Day Accts";#N/A,#N/A,FALSE,"Tickmarks"}</definedName>
    <definedName name="Nota9" hidden="1">{#N/A,#N/A,FALSE,"Aging Summary";#N/A,#N/A,FALSE,"Ratio Analysis";#N/A,#N/A,FALSE,"Test 120 Day Accts";#N/A,#N/A,FALSE,"Tickmarks"}</definedName>
    <definedName name="Nuevo" localSheetId="5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localSheetId="5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localSheetId="5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localSheetId="5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localSheetId="5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5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4" hidden="1">#REF!</definedName>
    <definedName name="ÑLKLÑ" localSheetId="5" hidden="1">#REF!</definedName>
    <definedName name="ÑLKLÑ" hidden="1">#REF!</definedName>
    <definedName name="OCTUBRE" localSheetId="5" hidden="1">{"'ICE  Agosto'!$A$60:$A$64","'ICE  Agosto'!$C$67"}</definedName>
    <definedName name="OCTUBRE" hidden="1">{"'ICE  Agosto'!$A$60:$A$64","'ICE  Agosto'!$C$67"}</definedName>
    <definedName name="oiuhe80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5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ojop" localSheetId="5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localSheetId="5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localSheetId="5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4">#REF!</definedName>
    <definedName name="operacion" localSheetId="5">#REF!</definedName>
    <definedName name="operacion" localSheetId="3">#REF!</definedName>
    <definedName name="operacion" localSheetId="6">#REF!</definedName>
    <definedName name="operacion">#REF!</definedName>
    <definedName name="OPERACION1" localSheetId="4">#REF!</definedName>
    <definedName name="OPERACION1" localSheetId="5">#REF!</definedName>
    <definedName name="OPERACION1" localSheetId="3">#REF!</definedName>
    <definedName name="OPERACION1" localSheetId="6">#REF!</definedName>
    <definedName name="OPERACION1">#REF!</definedName>
    <definedName name="operacion4" localSheetId="4">#REF!</definedName>
    <definedName name="operacion4" localSheetId="5">#REF!</definedName>
    <definedName name="operacion4" localSheetId="3">#REF!</definedName>
    <definedName name="operacion4" localSheetId="6">#REF!</definedName>
    <definedName name="operacion4">#REF!</definedName>
    <definedName name="ORDENADO" localSheetId="4">#REF!</definedName>
    <definedName name="ORDENADO" localSheetId="5">#REF!</definedName>
    <definedName name="ORDENADO" localSheetId="6">#REF!</definedName>
    <definedName name="ORDENADO">#REF!</definedName>
    <definedName name="p" localSheetId="5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is">[8]definiciones!$C$2:$C$256</definedName>
    <definedName name="pajfhaj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4">#REF!</definedName>
    <definedName name="pert" localSheetId="5">#REF!</definedName>
    <definedName name="pert" localSheetId="3">#REF!</definedName>
    <definedName name="pert" localSheetId="6">#REF!</definedName>
    <definedName name="pert">#REF!</definedName>
    <definedName name="PLAN02" localSheetId="5" hidden="1">{#N/A,#N/A,FALSE,"Cover (Japan)";#N/A,#N/A,FALSE,"Index";#N/A,#N/A,FALSE,"Comment sum"}</definedName>
    <definedName name="PLAN02" hidden="1">{#N/A,#N/A,FALSE,"Cover (Japan)";#N/A,#N/A,FALSE,"Index";#N/A,#N/A,FALSE,"Comment sum"}</definedName>
    <definedName name="poto" localSheetId="5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pmxxx" localSheetId="5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localSheetId="5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localSheetId="5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localSheetId="5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localSheetId="5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q" localSheetId="5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localSheetId="5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localSheetId="5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localSheetId="5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4">#REF!</definedName>
    <definedName name="RRRR" localSheetId="5">#REF!</definedName>
    <definedName name="RRRR" localSheetId="6">#REF!</definedName>
    <definedName name="RRRR">#REF!</definedName>
    <definedName name="s" localSheetId="5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d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localSheetId="5" hidden="1">{#N/A,#N/A,FALSE,"Aging Summary";#N/A,#N/A,FALSE,"Ratio Analysis";#N/A,#N/A,FALSE,"Test 120 Day Accts";#N/A,#N/A,FALSE,"Tickmarks"}</definedName>
    <definedName name="sdaad" hidden="1">{#N/A,#N/A,FALSE,"Aging Summary";#N/A,#N/A,FALSE,"Ratio Analysis";#N/A,#N/A,FALSE,"Test 120 Day Accts";#N/A,#N/A,FALSE,"Tickmarks"}</definedName>
    <definedName name="sdfasdad" localSheetId="5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localSheetId="5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[8]definiciones!$E$2:$E$3</definedName>
    <definedName name="SOIQJUSI" localSheetId="5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localSheetId="5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RDF" localSheetId="4">#REF!</definedName>
    <definedName name="SRDF" localSheetId="5">#REF!</definedName>
    <definedName name="SRDF" localSheetId="6">#REF!</definedName>
    <definedName name="SRDF">#REF!</definedName>
    <definedName name="ssss" localSheetId="4">#REF!</definedName>
    <definedName name="ssss" localSheetId="5">#REF!</definedName>
    <definedName name="ssss" localSheetId="3">#REF!</definedName>
    <definedName name="ssss" localSheetId="6">#REF!</definedName>
    <definedName name="ssss">#REF!</definedName>
    <definedName name="swssasa" localSheetId="5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t" localSheetId="5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localSheetId="5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4">#REF!</definedName>
    <definedName name="TABLAS" localSheetId="5">#REF!</definedName>
    <definedName name="TABLAS" localSheetId="6">#REF!</definedName>
    <definedName name="TABLAS">#REF!</definedName>
    <definedName name="TextRefCopyRangeCount" hidden="1">2</definedName>
    <definedName name="tt" localSheetId="5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FFFFVVGGT" localSheetId="5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4">#REF!</definedName>
    <definedName name="TTTT" localSheetId="5">#REF!</definedName>
    <definedName name="TTTT" localSheetId="6">#REF!</definedName>
    <definedName name="TTTT">#REF!</definedName>
    <definedName name="u" localSheetId="5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HIHOJ" localSheetId="5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localSheetId="5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[8]definiciones!$H$2:$H$5</definedName>
    <definedName name="unidia">[8]definiciones!$I$2:$I$5</definedName>
    <definedName name="uuuu" localSheetId="5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4">'[11]Registrar '!$A$2:$B$182</definedName>
    <definedName name="v" localSheetId="5">'[14]Registrar '!$A$2:$B$182</definedName>
    <definedName name="v" localSheetId="6">'[11]Registrar '!$A$2:$B$182</definedName>
    <definedName name="v">'[1]Registrar F.22 AT.2013'!$A$2:$B$182</definedName>
    <definedName name="VBA_VERSION" hidden="1">"1.11.0"</definedName>
    <definedName name="ve" localSheetId="5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FGDGDS" localSheetId="4">#REF!</definedName>
    <definedName name="VFGDGDS" localSheetId="5">#REF!</definedName>
    <definedName name="VFGDGDS" localSheetId="6">#REF!</definedName>
    <definedName name="VFGDGDS">#REF!</definedName>
    <definedName name="Vutil">[9]bien!$G$17</definedName>
    <definedName name="vvv" localSheetId="5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vvvv" localSheetId="5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localSheetId="5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localSheetId="5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localSheetId="5" hidden="1">{#N/A,#N/A,FALSE,"A-100"}</definedName>
    <definedName name="wrn.Activo._.Fijo._.y._.Depreciacion." hidden="1">{#N/A,#N/A,FALSE,"A-100"}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1.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localSheetId="5" hidden="1">{#N/A,#N/A,FALSE,"Cover (Japan)";#N/A,#N/A,FALSE,"Index";#N/A,#N/A,FALSE,"Comment sum"}</definedName>
    <definedName name="wrn.Approval._.Rpt." hidden="1">{#N/A,#N/A,FALSE,"Cover (Japan)";#N/A,#N/A,FALSE,"Index";#N/A,#N/A,FALSE,"Comment sum"}</definedName>
    <definedName name="wrn.CO." localSheetId="5" hidden="1">{#N/A,#N/A,FALSE,"datos_tecnicos";#N/A,#N/A,FALSE,"actividad";#N/A,#N/A,FALSE,"egastos"}</definedName>
    <definedName name="wrn.CO." hidden="1">{#N/A,#N/A,FALSE,"datos_tecnicos";#N/A,#N/A,FALSE,"actividad";#N/A,#N/A,FALSE,"egastos"}</definedName>
    <definedName name="wrn.Complete._.Report.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localSheetId="5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urrent._.Year._.Plan._.Only." localSheetId="5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localSheetId="5" hidden="1">{#N/A,#N/A,FALSE,"Exception Report"}</definedName>
    <definedName name="wrn.Exception._.Report." hidden="1">{#N/A,#N/A,FALSE,"Exception Report"}</definedName>
    <definedName name="wrn.Five._.Year._.Plan." localSheetId="5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localSheetId="5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inera._.Escondida._.Ltda." localSheetId="5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localSheetId="5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5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5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localSheetId="5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localSheetId="5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5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5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5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localSheetId="5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localSheetId="5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5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Supplemental._.Pkg.." localSheetId="5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5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localSheetId="5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localSheetId="5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localSheetId="5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5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localSheetId="5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4" hidden="1">#REF!</definedName>
    <definedName name="XREF_COLUMN_1" localSheetId="5" hidden="1">#REF!</definedName>
    <definedName name="XREF_COLUMN_1" hidden="1">#REF!</definedName>
    <definedName name="XREF_COLUMN_10" localSheetId="4" hidden="1">[12]Movimiento!#REF!</definedName>
    <definedName name="XREF_COLUMN_10" localSheetId="5" hidden="1">[12]Movimiento!#REF!</definedName>
    <definedName name="XREF_COLUMN_10" hidden="1">[12]Movimiento!#REF!</definedName>
    <definedName name="XREF_COLUMN_11" localSheetId="4" hidden="1">#REF!</definedName>
    <definedName name="XREF_COLUMN_11" localSheetId="5" hidden="1">#REF!</definedName>
    <definedName name="XREF_COLUMN_11" hidden="1">#REF!</definedName>
    <definedName name="XREF_COLUMN_12" localSheetId="4" hidden="1">#REF!</definedName>
    <definedName name="XREF_COLUMN_12" localSheetId="5" hidden="1">#REF!</definedName>
    <definedName name="XREF_COLUMN_12" hidden="1">#REF!</definedName>
    <definedName name="XREF_COLUMN_13" localSheetId="4" hidden="1">[12]Movimiento!#REF!</definedName>
    <definedName name="XREF_COLUMN_13" localSheetId="5" hidden="1">[12]Movimiento!#REF!</definedName>
    <definedName name="XREF_COLUMN_13" hidden="1">[12]Movimiento!#REF!</definedName>
    <definedName name="XREF_COLUMN_14" localSheetId="4" hidden="1">[12]Movimiento!#REF!</definedName>
    <definedName name="XREF_COLUMN_14" localSheetId="5" hidden="1">[12]Movimiento!#REF!</definedName>
    <definedName name="XREF_COLUMN_14" hidden="1">[12]Movimiento!#REF!</definedName>
    <definedName name="XREF_COLUMN_15" localSheetId="4" hidden="1">'[12]Dep ejercicio'!#REF!</definedName>
    <definedName name="XREF_COLUMN_15" localSheetId="5" hidden="1">'[12]Dep ejercicio'!#REF!</definedName>
    <definedName name="XREF_COLUMN_15" hidden="1">'[12]Dep ejercicio'!#REF!</definedName>
    <definedName name="XREF_COLUMN_16" localSheetId="4" hidden="1">#REF!</definedName>
    <definedName name="XREF_COLUMN_16" localSheetId="5" hidden="1">#REF!</definedName>
    <definedName name="XREF_COLUMN_16" hidden="1">#REF!</definedName>
    <definedName name="XREF_COLUMN_17" localSheetId="4" hidden="1">#REF!</definedName>
    <definedName name="XREF_COLUMN_17" localSheetId="5" hidden="1">#REF!</definedName>
    <definedName name="XREF_COLUMN_17" hidden="1">#REF!</definedName>
    <definedName name="XREF_COLUMN_18" localSheetId="4" hidden="1">'[12]Dep acumulada'!#REF!</definedName>
    <definedName name="XREF_COLUMN_18" localSheetId="5" hidden="1">'[12]Dep acumulada'!#REF!</definedName>
    <definedName name="XREF_COLUMN_18" hidden="1">'[12]Dep acumulada'!#REF!</definedName>
    <definedName name="XREF_COLUMN_19" localSheetId="4" hidden="1">#REF!</definedName>
    <definedName name="XREF_COLUMN_19" localSheetId="5" hidden="1">#REF!</definedName>
    <definedName name="XREF_COLUMN_19" hidden="1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_COLUMN_20" localSheetId="4" hidden="1">[12]Movimiento!#REF!</definedName>
    <definedName name="XREF_COLUMN_20" localSheetId="5" hidden="1">[12]Movimiento!#REF!</definedName>
    <definedName name="XREF_COLUMN_20" hidden="1">[12]Movimiento!#REF!</definedName>
    <definedName name="XREF_COLUMN_24" localSheetId="4" hidden="1">#REF!</definedName>
    <definedName name="XREF_COLUMN_24" localSheetId="5" hidden="1">#REF!</definedName>
    <definedName name="XREF_COLUMN_24" hidden="1">#REF!</definedName>
    <definedName name="XREF_COLUMN_29" localSheetId="4" hidden="1">#REF!</definedName>
    <definedName name="XREF_COLUMN_29" localSheetId="5" hidden="1">#REF!</definedName>
    <definedName name="XREF_COLUMN_29" hidden="1">#REF!</definedName>
    <definedName name="XREF_COLUMN_3" localSheetId="4" hidden="1">#REF!</definedName>
    <definedName name="XREF_COLUMN_3" localSheetId="5" hidden="1">#REF!</definedName>
    <definedName name="XREF_COLUMN_3" hidden="1">#REF!</definedName>
    <definedName name="XREF_COLUMN_30" localSheetId="4" hidden="1">#REF!</definedName>
    <definedName name="XREF_COLUMN_30" localSheetId="5" hidden="1">#REF!</definedName>
    <definedName name="XREF_COLUMN_30" hidden="1">#REF!</definedName>
    <definedName name="XREF_COLUMN_4" localSheetId="4" hidden="1">#REF!</definedName>
    <definedName name="XREF_COLUMN_4" localSheetId="5" hidden="1">#REF!</definedName>
    <definedName name="XREF_COLUMN_4" hidden="1">#REF!</definedName>
    <definedName name="XREF_COLUMN_5" localSheetId="4" hidden="1">#REF!</definedName>
    <definedName name="XREF_COLUMN_5" localSheetId="5" hidden="1">#REF!</definedName>
    <definedName name="XREF_COLUMN_5" hidden="1">#REF!</definedName>
    <definedName name="XREF_COLUMN_6" localSheetId="4" hidden="1">#REF!</definedName>
    <definedName name="XREF_COLUMN_6" localSheetId="5" hidden="1">#REF!</definedName>
    <definedName name="XREF_COLUMN_6" hidden="1">#REF!</definedName>
    <definedName name="XREF_COLUMN_7" localSheetId="4" hidden="1">#REF!</definedName>
    <definedName name="XREF_COLUMN_7" localSheetId="5" hidden="1">#REF!</definedName>
    <definedName name="XREF_COLUMN_7" hidden="1">#REF!</definedName>
    <definedName name="XREF_COLUMN_8" localSheetId="4" hidden="1">#REF!</definedName>
    <definedName name="XREF_COLUMN_8" localSheetId="5" hidden="1">#REF!</definedName>
    <definedName name="XREF_COLUMN_8" hidden="1">#REF!</definedName>
    <definedName name="XREF_COLUMN_9" localSheetId="4" hidden="1">#REF!</definedName>
    <definedName name="XREF_COLUMN_9" localSheetId="5" hidden="1">#REF!</definedName>
    <definedName name="XREF_COLUMN_9" hidden="1">#REF!</definedName>
    <definedName name="XRefActiveRow" localSheetId="4" hidden="1">#REF!</definedName>
    <definedName name="XRefActiveRow" localSheetId="5" hidden="1">#REF!</definedName>
    <definedName name="XRefActiveRow" hidden="1">#REF!</definedName>
    <definedName name="XRefColumnsCount" hidden="1">7</definedName>
    <definedName name="XRefCopy1" localSheetId="4" hidden="1">#REF!</definedName>
    <definedName name="XRefCopy1" localSheetId="5" hidden="1">#REF!</definedName>
    <definedName name="XRefCopy1" hidden="1">#REF!</definedName>
    <definedName name="XRefCopy10" localSheetId="4" hidden="1">#REF!</definedName>
    <definedName name="XRefCopy10" localSheetId="5" hidden="1">#REF!</definedName>
    <definedName name="XRefCopy10" hidden="1">#REF!</definedName>
    <definedName name="XRefCopy10Row" localSheetId="4" hidden="1">#REF!</definedName>
    <definedName name="XRefCopy10Row" localSheetId="5" hidden="1">#REF!</definedName>
    <definedName name="XRefCopy10Row" hidden="1">#REF!</definedName>
    <definedName name="XRefCopy11" localSheetId="4" hidden="1">#REF!</definedName>
    <definedName name="XRefCopy11" localSheetId="5" hidden="1">#REF!</definedName>
    <definedName name="XRefCopy11" hidden="1">#REF!</definedName>
    <definedName name="XRefCopy11Row" localSheetId="4" hidden="1">#REF!</definedName>
    <definedName name="XRefCopy11Row" localSheetId="5" hidden="1">#REF!</definedName>
    <definedName name="XRefCopy11Row" hidden="1">#REF!</definedName>
    <definedName name="XRefCopy12" localSheetId="4" hidden="1">#REF!</definedName>
    <definedName name="XRefCopy12" localSheetId="5" hidden="1">#REF!</definedName>
    <definedName name="XRefCopy12" hidden="1">#REF!</definedName>
    <definedName name="XRefCopy12Row" localSheetId="4" hidden="1">#REF!</definedName>
    <definedName name="XRefCopy12Row" localSheetId="5" hidden="1">#REF!</definedName>
    <definedName name="XRefCopy12Row" hidden="1">#REF!</definedName>
    <definedName name="XRefCopy13" localSheetId="4" hidden="1">#REF!</definedName>
    <definedName name="XRefCopy13" localSheetId="5" hidden="1">#REF!</definedName>
    <definedName name="XRefCopy13" hidden="1">#REF!</definedName>
    <definedName name="XRefCopy13Row" localSheetId="4" hidden="1">#REF!</definedName>
    <definedName name="XRefCopy13Row" localSheetId="5" hidden="1">#REF!</definedName>
    <definedName name="XRefCopy13Row" hidden="1">#REF!</definedName>
    <definedName name="XRefCopy14" localSheetId="4" hidden="1">#REF!</definedName>
    <definedName name="XRefCopy14" localSheetId="5" hidden="1">#REF!</definedName>
    <definedName name="XRefCopy14" hidden="1">#REF!</definedName>
    <definedName name="XRefCopy14Row" localSheetId="4" hidden="1">#REF!</definedName>
    <definedName name="XRefCopy14Row" localSheetId="5" hidden="1">#REF!</definedName>
    <definedName name="XRefCopy14Row" hidden="1">#REF!</definedName>
    <definedName name="XRefCopy15" localSheetId="4" hidden="1">#REF!</definedName>
    <definedName name="XRefCopy15" localSheetId="5" hidden="1">#REF!</definedName>
    <definedName name="XRefCopy15" hidden="1">#REF!</definedName>
    <definedName name="XRefCopy15Row" localSheetId="4" hidden="1">#REF!</definedName>
    <definedName name="XRefCopy15Row" localSheetId="5" hidden="1">#REF!</definedName>
    <definedName name="XRefCopy15Row" hidden="1">#REF!</definedName>
    <definedName name="XRefCopy16" localSheetId="4" hidden="1">#REF!</definedName>
    <definedName name="XRefCopy16" localSheetId="5" hidden="1">#REF!</definedName>
    <definedName name="XRefCopy16" hidden="1">#REF!</definedName>
    <definedName name="XRefCopy16Row" localSheetId="4" hidden="1">#REF!</definedName>
    <definedName name="XRefCopy16Row" localSheetId="5" hidden="1">#REF!</definedName>
    <definedName name="XRefCopy16Row" hidden="1">#REF!</definedName>
    <definedName name="XRefCopy17" localSheetId="4" hidden="1">#REF!</definedName>
    <definedName name="XRefCopy17" localSheetId="5" hidden="1">#REF!</definedName>
    <definedName name="XRefCopy17" hidden="1">#REF!</definedName>
    <definedName name="XRefCopy17Row" localSheetId="4" hidden="1">#REF!</definedName>
    <definedName name="XRefCopy17Row" localSheetId="5" hidden="1">#REF!</definedName>
    <definedName name="XRefCopy17Row" hidden="1">#REF!</definedName>
    <definedName name="XRefCopy18" localSheetId="4" hidden="1">#REF!</definedName>
    <definedName name="XRefCopy18" localSheetId="5" hidden="1">#REF!</definedName>
    <definedName name="XRefCopy18" hidden="1">#REF!</definedName>
    <definedName name="XRefCopy18Row" localSheetId="4" hidden="1">#REF!</definedName>
    <definedName name="XRefCopy18Row" localSheetId="5" hidden="1">#REF!</definedName>
    <definedName name="XRefCopy18Row" hidden="1">#REF!</definedName>
    <definedName name="XRefCopy19" localSheetId="4" hidden="1">[12]Movimiento!#REF!</definedName>
    <definedName name="XRefCopy19" localSheetId="5" hidden="1">[12]Movimiento!#REF!</definedName>
    <definedName name="XRefCopy19" hidden="1">[12]Movimiento!#REF!</definedName>
    <definedName name="XRefCopy19Row" localSheetId="4" hidden="1">#REF!</definedName>
    <definedName name="XRefCopy19Row" localSheetId="5" hidden="1">#REF!</definedName>
    <definedName name="XRefCopy19Row" hidden="1">#REF!</definedName>
    <definedName name="XRefCopy1Row" localSheetId="4" hidden="1">#REF!</definedName>
    <definedName name="XRefCopy1Row" localSheetId="5" hidden="1">#REF!</definedName>
    <definedName name="XRefCopy1Row" hidden="1">#REF!</definedName>
    <definedName name="XRefCopy2" localSheetId="4" hidden="1">#REF!</definedName>
    <definedName name="XRefCopy2" localSheetId="5" hidden="1">#REF!</definedName>
    <definedName name="XRefCopy2" hidden="1">#REF!</definedName>
    <definedName name="XRefCopy20" localSheetId="4" hidden="1">[12]Movimiento!#REF!</definedName>
    <definedName name="XRefCopy20" localSheetId="5" hidden="1">[12]Movimiento!#REF!</definedName>
    <definedName name="XRefCopy20" hidden="1">[12]Movimiento!#REF!</definedName>
    <definedName name="XRefCopy20Row" localSheetId="4" hidden="1">#REF!</definedName>
    <definedName name="XRefCopy20Row" localSheetId="5" hidden="1">#REF!</definedName>
    <definedName name="XRefCopy20Row" hidden="1">#REF!</definedName>
    <definedName name="XRefCopy21" localSheetId="4" hidden="1">[12]Movimiento!#REF!</definedName>
    <definedName name="XRefCopy21" localSheetId="5" hidden="1">[12]Movimiento!#REF!</definedName>
    <definedName name="XRefCopy21" hidden="1">[12]Movimiento!#REF!</definedName>
    <definedName name="XRefCopy21Row" localSheetId="4" hidden="1">#REF!</definedName>
    <definedName name="XRefCopy21Row" localSheetId="5" hidden="1">#REF!</definedName>
    <definedName name="XRefCopy21Row" hidden="1">#REF!</definedName>
    <definedName name="XRefCopy22" localSheetId="4" hidden="1">[12]Movimiento!#REF!</definedName>
    <definedName name="XRefCopy22" localSheetId="5" hidden="1">[12]Movimiento!#REF!</definedName>
    <definedName name="XRefCopy22" hidden="1">[12]Movimiento!#REF!</definedName>
    <definedName name="XRefCopy22Row" localSheetId="4" hidden="1">#REF!</definedName>
    <definedName name="XRefCopy22Row" localSheetId="5" hidden="1">#REF!</definedName>
    <definedName name="XRefCopy22Row" hidden="1">#REF!</definedName>
    <definedName name="XRefCopy23" localSheetId="4" hidden="1">[12]Movimiento!#REF!</definedName>
    <definedName name="XRefCopy23" localSheetId="5" hidden="1">[12]Movimiento!#REF!</definedName>
    <definedName name="XRefCopy23" hidden="1">[12]Movimiento!#REF!</definedName>
    <definedName name="XRefCopy23Row" localSheetId="4" hidden="1">#REF!</definedName>
    <definedName name="XRefCopy23Row" localSheetId="5" hidden="1">#REF!</definedName>
    <definedName name="XRefCopy23Row" hidden="1">#REF!</definedName>
    <definedName name="XRefCopy24" localSheetId="4" hidden="1">'[12]Dep ejercicio'!#REF!</definedName>
    <definedName name="XRefCopy24" localSheetId="5" hidden="1">'[12]Dep ejercicio'!#REF!</definedName>
    <definedName name="XRefCopy24" hidden="1">'[12]Dep ejercicio'!#REF!</definedName>
    <definedName name="XRefCopy24Row" localSheetId="4" hidden="1">#REF!</definedName>
    <definedName name="XRefCopy24Row" localSheetId="5" hidden="1">#REF!</definedName>
    <definedName name="XRefCopy24Row" hidden="1">#REF!</definedName>
    <definedName name="XRefCopy25Row" localSheetId="4" hidden="1">#REF!</definedName>
    <definedName name="XRefCopy25Row" localSheetId="5" hidden="1">#REF!</definedName>
    <definedName name="XRefCopy25Row" hidden="1">#REF!</definedName>
    <definedName name="XRefCopy26Row" localSheetId="4" hidden="1">#REF!</definedName>
    <definedName name="XRefCopy26Row" localSheetId="5" hidden="1">#REF!</definedName>
    <definedName name="XRefCopy26Row" hidden="1">#REF!</definedName>
    <definedName name="XRefCopy27Row" localSheetId="4" hidden="1">#REF!</definedName>
    <definedName name="XRefCopy27Row" localSheetId="5" hidden="1">#REF!</definedName>
    <definedName name="XRefCopy27Row" hidden="1">#REF!</definedName>
    <definedName name="XRefCopy28Row" localSheetId="4" hidden="1">#REF!</definedName>
    <definedName name="XRefCopy28Row" localSheetId="5" hidden="1">#REF!</definedName>
    <definedName name="XRefCopy28Row" hidden="1">#REF!</definedName>
    <definedName name="XRefCopy29Row" localSheetId="4" hidden="1">#REF!</definedName>
    <definedName name="XRefCopy29Row" localSheetId="5" hidden="1">#REF!</definedName>
    <definedName name="XRefCopy29Row" hidden="1">#REF!</definedName>
    <definedName name="XRefCopy2Row" localSheetId="4" hidden="1">#REF!</definedName>
    <definedName name="XRefCopy2Row" localSheetId="5" hidden="1">#REF!</definedName>
    <definedName name="XRefCopy2Row" hidden="1">#REF!</definedName>
    <definedName name="XRefCopy3" localSheetId="4" hidden="1">#REF!</definedName>
    <definedName name="XRefCopy3" localSheetId="5" hidden="1">#REF!</definedName>
    <definedName name="XRefCopy3" hidden="1">#REF!</definedName>
    <definedName name="XRefCopy30" localSheetId="4" hidden="1">[12]Movimiento!#REF!</definedName>
    <definedName name="XRefCopy30" localSheetId="5" hidden="1">[12]Movimiento!#REF!</definedName>
    <definedName name="XRefCopy30" hidden="1">[12]Movimiento!#REF!</definedName>
    <definedName name="XRefCopy30Row" localSheetId="4" hidden="1">#REF!</definedName>
    <definedName name="XRefCopy30Row" localSheetId="5" hidden="1">#REF!</definedName>
    <definedName name="XRefCopy30Row" hidden="1">#REF!</definedName>
    <definedName name="XRefCopy31" localSheetId="4" hidden="1">[12]Movimiento!#REF!</definedName>
    <definedName name="XRefCopy31" localSheetId="5" hidden="1">[12]Movimiento!#REF!</definedName>
    <definedName name="XRefCopy31" hidden="1">[12]Movimiento!#REF!</definedName>
    <definedName name="XRefCopy31Row" localSheetId="4" hidden="1">#REF!</definedName>
    <definedName name="XRefCopy31Row" localSheetId="5" hidden="1">#REF!</definedName>
    <definedName name="XRefCopy31Row" hidden="1">#REF!</definedName>
    <definedName name="XRefCopy3Row" localSheetId="4" hidden="1">#REF!</definedName>
    <definedName name="XRefCopy3Row" localSheetId="5" hidden="1">#REF!</definedName>
    <definedName name="XRefCopy3Row" hidden="1">#REF!</definedName>
    <definedName name="XRefCopy4" localSheetId="4" hidden="1">#REF!</definedName>
    <definedName name="XRefCopy4" localSheetId="5" hidden="1">#REF!</definedName>
    <definedName name="XRefCopy4" hidden="1">#REF!</definedName>
    <definedName name="XRefCopy46Row" localSheetId="4" hidden="1">#REF!</definedName>
    <definedName name="XRefCopy46Row" localSheetId="5" hidden="1">#REF!</definedName>
    <definedName name="XRefCopy46Row" hidden="1">#REF!</definedName>
    <definedName name="XRefCopy4Row" localSheetId="4" hidden="1">#REF!</definedName>
    <definedName name="XRefCopy4Row" localSheetId="5" hidden="1">#REF!</definedName>
    <definedName name="XRefCopy4Row" hidden="1">#REF!</definedName>
    <definedName name="XRefCopy5" localSheetId="4" hidden="1">#REF!</definedName>
    <definedName name="XRefCopy5" localSheetId="5" hidden="1">#REF!</definedName>
    <definedName name="XRefCopy5" hidden="1">#REF!</definedName>
    <definedName name="XRefCopy52Row" localSheetId="4" hidden="1">#REF!</definedName>
    <definedName name="XRefCopy52Row" localSheetId="5" hidden="1">#REF!</definedName>
    <definedName name="XRefCopy52Row" hidden="1">#REF!</definedName>
    <definedName name="XRefCopy53" localSheetId="4" hidden="1">'[12]Dep ejercicio'!#REF!</definedName>
    <definedName name="XRefCopy53" localSheetId="5" hidden="1">'[12]Dep ejercicio'!#REF!</definedName>
    <definedName name="XRefCopy53" hidden="1">'[12]Dep ejercicio'!#REF!</definedName>
    <definedName name="XRefCopy53Row" localSheetId="4" hidden="1">#REF!</definedName>
    <definedName name="XRefCopy53Row" localSheetId="5" hidden="1">#REF!</definedName>
    <definedName name="XRefCopy53Row" hidden="1">#REF!</definedName>
    <definedName name="XRefCopy5Row" localSheetId="4" hidden="1">[13]XREF!#REF!</definedName>
    <definedName name="XRefCopy5Row" localSheetId="5" hidden="1">[13]XREF!#REF!</definedName>
    <definedName name="XRefCopy5Row" hidden="1">[13]XREF!#REF!</definedName>
    <definedName name="XRefCopy6" localSheetId="4" hidden="1">#REF!</definedName>
    <definedName name="XRefCopy6" localSheetId="5" hidden="1">#REF!</definedName>
    <definedName name="XRefCopy6" hidden="1">#REF!</definedName>
    <definedName name="XRefCopy6Row" localSheetId="4" hidden="1">[13]XREF!#REF!</definedName>
    <definedName name="XRefCopy6Row" localSheetId="5" hidden="1">[13]XREF!#REF!</definedName>
    <definedName name="XRefCopy6Row" hidden="1">[13]XREF!#REF!</definedName>
    <definedName name="XRefCopy7" localSheetId="4" hidden="1">#REF!</definedName>
    <definedName name="XRefCopy7" localSheetId="5" hidden="1">#REF!</definedName>
    <definedName name="XRefCopy7" hidden="1">#REF!</definedName>
    <definedName name="XRefCopy7Row" localSheetId="4" hidden="1">#REF!</definedName>
    <definedName name="XRefCopy7Row" localSheetId="5" hidden="1">#REF!</definedName>
    <definedName name="XRefCopy7Row" hidden="1">#REF!</definedName>
    <definedName name="XRefCopy8" localSheetId="4" hidden="1">#REF!</definedName>
    <definedName name="XRefCopy8" localSheetId="5" hidden="1">#REF!</definedName>
    <definedName name="XRefCopy8" hidden="1">#REF!</definedName>
    <definedName name="XRefCopy8Row" localSheetId="4" hidden="1">#REF!</definedName>
    <definedName name="XRefCopy8Row" localSheetId="5" hidden="1">#REF!</definedName>
    <definedName name="XRefCopy8Row" hidden="1">#REF!</definedName>
    <definedName name="XRefCopy9" localSheetId="4" hidden="1">#REF!</definedName>
    <definedName name="XRefCopy9" localSheetId="5" hidden="1">#REF!</definedName>
    <definedName name="XRefCopy9" hidden="1">#REF!</definedName>
    <definedName name="XRefCopy9Row" localSheetId="4" hidden="1">#REF!</definedName>
    <definedName name="XRefCopy9Row" localSheetId="5" hidden="1">#REF!</definedName>
    <definedName name="XRefCopy9Row" hidden="1">#REF!</definedName>
    <definedName name="XRefCopyRangeCount" hidden="1">1</definedName>
    <definedName name="XRefPaste1" localSheetId="4" hidden="1">#REF!</definedName>
    <definedName name="XRefPaste1" localSheetId="5" hidden="1">#REF!</definedName>
    <definedName name="XRefPaste1" hidden="1">#REF!</definedName>
    <definedName name="XRefPaste10" localSheetId="4" hidden="1">#REF!</definedName>
    <definedName name="XRefPaste10" localSheetId="5" hidden="1">#REF!</definedName>
    <definedName name="XRefPaste10" hidden="1">#REF!</definedName>
    <definedName name="XRefPaste10Row" localSheetId="4" hidden="1">#REF!</definedName>
    <definedName name="XRefPaste10Row" localSheetId="5" hidden="1">#REF!</definedName>
    <definedName name="XRefPaste10Row" hidden="1">#REF!</definedName>
    <definedName name="XRefPaste11" localSheetId="4" hidden="1">#REF!</definedName>
    <definedName name="XRefPaste11" localSheetId="5" hidden="1">#REF!</definedName>
    <definedName name="XRefPaste11" hidden="1">#REF!</definedName>
    <definedName name="XRefPaste11Row" localSheetId="4" hidden="1">#REF!</definedName>
    <definedName name="XRefPaste11Row" localSheetId="5" hidden="1">#REF!</definedName>
    <definedName name="XRefPaste11Row" hidden="1">#REF!</definedName>
    <definedName name="XRefPaste12" localSheetId="4" hidden="1">#REF!</definedName>
    <definedName name="XRefPaste12" localSheetId="5" hidden="1">#REF!</definedName>
    <definedName name="XRefPaste12" hidden="1">#REF!</definedName>
    <definedName name="XRefPaste12Row" localSheetId="4" hidden="1">#REF!</definedName>
    <definedName name="XRefPaste12Row" localSheetId="5" hidden="1">#REF!</definedName>
    <definedName name="XRefPaste12Row" hidden="1">#REF!</definedName>
    <definedName name="XRefPaste13" localSheetId="4" hidden="1">#REF!</definedName>
    <definedName name="XRefPaste13" localSheetId="5" hidden="1">#REF!</definedName>
    <definedName name="XRefPaste13" hidden="1">#REF!</definedName>
    <definedName name="XRefPaste13Row" localSheetId="4" hidden="1">#REF!</definedName>
    <definedName name="XRefPaste13Row" localSheetId="5" hidden="1">#REF!</definedName>
    <definedName name="XRefPaste13Row" hidden="1">#REF!</definedName>
    <definedName name="XRefPaste14" localSheetId="4" hidden="1">[12]Movimiento!#REF!</definedName>
    <definedName name="XRefPaste14" localSheetId="5" hidden="1">[12]Movimiento!#REF!</definedName>
    <definedName name="XRefPaste14" hidden="1">[12]Movimiento!#REF!</definedName>
    <definedName name="XRefPaste14Row" localSheetId="4" hidden="1">#REF!</definedName>
    <definedName name="XRefPaste14Row" localSheetId="5" hidden="1">#REF!</definedName>
    <definedName name="XRefPaste14Row" hidden="1">#REF!</definedName>
    <definedName name="XRefPaste15Row" localSheetId="4" hidden="1">#REF!</definedName>
    <definedName name="XRefPaste15Row" localSheetId="5" hidden="1">#REF!</definedName>
    <definedName name="XRefPaste15Row" hidden="1">#REF!</definedName>
    <definedName name="XRefPaste16" localSheetId="4" hidden="1">[12]Movimiento!#REF!</definedName>
    <definedName name="XRefPaste16" localSheetId="5" hidden="1">[12]Movimiento!#REF!</definedName>
    <definedName name="XRefPaste16" hidden="1">[12]Movimiento!#REF!</definedName>
    <definedName name="XRefPaste16Row" localSheetId="4" hidden="1">#REF!</definedName>
    <definedName name="XRefPaste16Row" localSheetId="5" hidden="1">#REF!</definedName>
    <definedName name="XRefPaste16Row" hidden="1">#REF!</definedName>
    <definedName name="XRefPaste17" localSheetId="4" hidden="1">[12]Movimiento!#REF!</definedName>
    <definedName name="XRefPaste17" localSheetId="5" hidden="1">[12]Movimiento!#REF!</definedName>
    <definedName name="XRefPaste17" hidden="1">[12]Movimiento!#REF!</definedName>
    <definedName name="XRefPaste17Row" localSheetId="4" hidden="1">#REF!</definedName>
    <definedName name="XRefPaste17Row" localSheetId="5" hidden="1">#REF!</definedName>
    <definedName name="XRefPaste17Row" hidden="1">#REF!</definedName>
    <definedName name="XRefPaste18" localSheetId="4" hidden="1">[12]Movimiento!#REF!</definedName>
    <definedName name="XRefPaste18" localSheetId="5" hidden="1">[12]Movimiento!#REF!</definedName>
    <definedName name="XRefPaste18" hidden="1">[12]Movimiento!#REF!</definedName>
    <definedName name="XRefPaste18Row" localSheetId="4" hidden="1">#REF!</definedName>
    <definedName name="XRefPaste18Row" localSheetId="5" hidden="1">#REF!</definedName>
    <definedName name="XRefPaste18Row" hidden="1">#REF!</definedName>
    <definedName name="XRefPaste19" localSheetId="4" hidden="1">[12]Movimiento!#REF!</definedName>
    <definedName name="XRefPaste19" localSheetId="5" hidden="1">[12]Movimiento!#REF!</definedName>
    <definedName name="XRefPaste19" hidden="1">[12]Movimiento!#REF!</definedName>
    <definedName name="XRefPaste19Row" localSheetId="4" hidden="1">#REF!</definedName>
    <definedName name="XRefPaste19Row" localSheetId="5" hidden="1">#REF!</definedName>
    <definedName name="XRefPaste19Row" hidden="1">#REF!</definedName>
    <definedName name="XRefPaste1Row" localSheetId="4" hidden="1">#REF!</definedName>
    <definedName name="XRefPaste1Row" localSheetId="5" hidden="1">#REF!</definedName>
    <definedName name="XRefPaste1Row" hidden="1">#REF!</definedName>
    <definedName name="XRefPaste2" localSheetId="4" hidden="1">#REF!</definedName>
    <definedName name="XRefPaste2" localSheetId="5" hidden="1">#REF!</definedName>
    <definedName name="XRefPaste2" hidden="1">#REF!</definedName>
    <definedName name="XRefPaste20" localSheetId="4" hidden="1">[12]Movimiento!#REF!</definedName>
    <definedName name="XRefPaste20" localSheetId="5" hidden="1">[12]Movimiento!#REF!</definedName>
    <definedName name="XRefPaste20" hidden="1">[12]Movimiento!#REF!</definedName>
    <definedName name="XRefPaste20Row" localSheetId="4" hidden="1">#REF!</definedName>
    <definedName name="XRefPaste20Row" localSheetId="5" hidden="1">#REF!</definedName>
    <definedName name="XRefPaste20Row" hidden="1">#REF!</definedName>
    <definedName name="XRefPaste21Row" localSheetId="4" hidden="1">#REF!</definedName>
    <definedName name="XRefPaste21Row" localSheetId="5" hidden="1">#REF!</definedName>
    <definedName name="XRefPaste21Row" hidden="1">#REF!</definedName>
    <definedName name="XRefPaste22" localSheetId="4" hidden="1">#REF!</definedName>
    <definedName name="XRefPaste22" localSheetId="5" hidden="1">#REF!</definedName>
    <definedName name="XRefPaste22" hidden="1">#REF!</definedName>
    <definedName name="XRefPaste22Row" localSheetId="4" hidden="1">#REF!</definedName>
    <definedName name="XRefPaste22Row" localSheetId="5" hidden="1">#REF!</definedName>
    <definedName name="XRefPaste22Row" hidden="1">#REF!</definedName>
    <definedName name="XRefPaste23" localSheetId="4" hidden="1">#REF!</definedName>
    <definedName name="XRefPaste23" localSheetId="5" hidden="1">#REF!</definedName>
    <definedName name="XRefPaste23" hidden="1">#REF!</definedName>
    <definedName name="XRefPaste23Row" localSheetId="4" hidden="1">#REF!</definedName>
    <definedName name="XRefPaste23Row" localSheetId="5" hidden="1">#REF!</definedName>
    <definedName name="XRefPaste23Row" hidden="1">#REF!</definedName>
    <definedName name="XRefPaste24Row" localSheetId="4" hidden="1">#REF!</definedName>
    <definedName name="XRefPaste24Row" localSheetId="5" hidden="1">#REF!</definedName>
    <definedName name="XRefPaste24Row" hidden="1">#REF!</definedName>
    <definedName name="XRefPaste25Row" localSheetId="4" hidden="1">#REF!</definedName>
    <definedName name="XRefPaste25Row" localSheetId="5" hidden="1">#REF!</definedName>
    <definedName name="XRefPaste25Row" hidden="1">#REF!</definedName>
    <definedName name="XRefPaste26" localSheetId="4" hidden="1">#REF!</definedName>
    <definedName name="XRefPaste26" localSheetId="5" hidden="1">#REF!</definedName>
    <definedName name="XRefPaste26" hidden="1">#REF!</definedName>
    <definedName name="XRefPaste26Row" localSheetId="4" hidden="1">#REF!</definedName>
    <definedName name="XRefPaste26Row" localSheetId="5" hidden="1">#REF!</definedName>
    <definedName name="XRefPaste26Row" hidden="1">#REF!</definedName>
    <definedName name="XRefPaste27Row" localSheetId="4" hidden="1">#REF!</definedName>
    <definedName name="XRefPaste27Row" localSheetId="5" hidden="1">#REF!</definedName>
    <definedName name="XRefPaste27Row" hidden="1">#REF!</definedName>
    <definedName name="XRefPaste2Row" localSheetId="4" hidden="1">#REF!</definedName>
    <definedName name="XRefPaste2Row" localSheetId="5" hidden="1">#REF!</definedName>
    <definedName name="XRefPaste2Row" hidden="1">#REF!</definedName>
    <definedName name="XRefPaste3" localSheetId="4" hidden="1">#REF!</definedName>
    <definedName name="XRefPaste3" localSheetId="5" hidden="1">#REF!</definedName>
    <definedName name="XRefPaste3" hidden="1">#REF!</definedName>
    <definedName name="XRefPaste32" localSheetId="4" hidden="1">#REF!</definedName>
    <definedName name="XRefPaste32" localSheetId="5" hidden="1">#REF!</definedName>
    <definedName name="XRefPaste32" hidden="1">#REF!</definedName>
    <definedName name="XRefPaste33" localSheetId="4" hidden="1">#REF!</definedName>
    <definedName name="XRefPaste33" localSheetId="5" hidden="1">#REF!</definedName>
    <definedName name="XRefPaste33" hidden="1">#REF!</definedName>
    <definedName name="XRefPaste34" localSheetId="4" hidden="1">#REF!</definedName>
    <definedName name="XRefPaste34" localSheetId="5" hidden="1">#REF!</definedName>
    <definedName name="XRefPaste34" hidden="1">#REF!</definedName>
    <definedName name="XRefPaste3Row" localSheetId="4" hidden="1">#REF!</definedName>
    <definedName name="XRefPaste3Row" localSheetId="5" hidden="1">#REF!</definedName>
    <definedName name="XRefPaste3Row" hidden="1">#REF!</definedName>
    <definedName name="XRefPaste4" localSheetId="4" hidden="1">#REF!</definedName>
    <definedName name="XRefPaste4" localSheetId="5" hidden="1">#REF!</definedName>
    <definedName name="XRefPaste4" hidden="1">#REF!</definedName>
    <definedName name="XRefPaste41" localSheetId="4" hidden="1">#REF!</definedName>
    <definedName name="XRefPaste41" localSheetId="5" hidden="1">#REF!</definedName>
    <definedName name="XRefPaste41" hidden="1">#REF!</definedName>
    <definedName name="XRefPaste41Row" localSheetId="4" hidden="1">#REF!</definedName>
    <definedName name="XRefPaste41Row" localSheetId="5" hidden="1">#REF!</definedName>
    <definedName name="XRefPaste41Row" hidden="1">#REF!</definedName>
    <definedName name="XRefPaste42Row" localSheetId="4" hidden="1">#REF!</definedName>
    <definedName name="XRefPaste42Row" localSheetId="5" hidden="1">#REF!</definedName>
    <definedName name="XRefPaste42Row" hidden="1">#REF!</definedName>
    <definedName name="XRefPaste43Row" localSheetId="4" hidden="1">#REF!</definedName>
    <definedName name="XRefPaste43Row" localSheetId="5" hidden="1">#REF!</definedName>
    <definedName name="XRefPaste43Row" hidden="1">#REF!</definedName>
    <definedName name="XRefPaste44Row" localSheetId="4" hidden="1">#REF!</definedName>
    <definedName name="XRefPaste44Row" localSheetId="5" hidden="1">#REF!</definedName>
    <definedName name="XRefPaste44Row" hidden="1">#REF!</definedName>
    <definedName name="XRefPaste45Row" localSheetId="4" hidden="1">#REF!</definedName>
    <definedName name="XRefPaste45Row" localSheetId="5" hidden="1">#REF!</definedName>
    <definedName name="XRefPaste45Row" hidden="1">#REF!</definedName>
    <definedName name="XRefPaste46Row" localSheetId="4" hidden="1">#REF!</definedName>
    <definedName name="XRefPaste46Row" localSheetId="5" hidden="1">#REF!</definedName>
    <definedName name="XRefPaste46Row" hidden="1">#REF!</definedName>
    <definedName name="XRefPaste47" localSheetId="4" hidden="1">#REF!</definedName>
    <definedName name="XRefPaste47" localSheetId="5" hidden="1">#REF!</definedName>
    <definedName name="XRefPaste47" hidden="1">#REF!</definedName>
    <definedName name="XRefPaste47Row" localSheetId="4" hidden="1">#REF!</definedName>
    <definedName name="XRefPaste47Row" localSheetId="5" hidden="1">#REF!</definedName>
    <definedName name="XRefPaste47Row" hidden="1">#REF!</definedName>
    <definedName name="XRefPaste48Row" localSheetId="4" hidden="1">#REF!</definedName>
    <definedName name="XRefPaste48Row" localSheetId="5" hidden="1">#REF!</definedName>
    <definedName name="XRefPaste48Row" hidden="1">#REF!</definedName>
    <definedName name="XRefPaste49" localSheetId="4" hidden="1">#REF!</definedName>
    <definedName name="XRefPaste49" localSheetId="5" hidden="1">#REF!</definedName>
    <definedName name="XRefPaste49" hidden="1">#REF!</definedName>
    <definedName name="XRefPaste49Row" localSheetId="4" hidden="1">#REF!</definedName>
    <definedName name="XRefPaste49Row" localSheetId="5" hidden="1">#REF!</definedName>
    <definedName name="XRefPaste49Row" hidden="1">#REF!</definedName>
    <definedName name="XRefPaste4Row" localSheetId="4" hidden="1">#REF!</definedName>
    <definedName name="XRefPaste4Row" localSheetId="5" hidden="1">#REF!</definedName>
    <definedName name="XRefPaste4Row" hidden="1">#REF!</definedName>
    <definedName name="XRefPaste5" localSheetId="4" hidden="1">#REF!</definedName>
    <definedName name="XRefPaste5" localSheetId="5" hidden="1">#REF!</definedName>
    <definedName name="XRefPaste5" hidden="1">#REF!</definedName>
    <definedName name="XRefPaste50" localSheetId="4" hidden="1">#REF!</definedName>
    <definedName name="XRefPaste50" localSheetId="5" hidden="1">#REF!</definedName>
    <definedName name="XRefPaste50" hidden="1">#REF!</definedName>
    <definedName name="XRefPaste5Row" localSheetId="4" hidden="1">#REF!</definedName>
    <definedName name="XRefPaste5Row" localSheetId="5" hidden="1">#REF!</definedName>
    <definedName name="XRefPaste5Row" hidden="1">#REF!</definedName>
    <definedName name="XRefPaste6" localSheetId="4" hidden="1">#REF!</definedName>
    <definedName name="XRefPaste6" localSheetId="5" hidden="1">#REF!</definedName>
    <definedName name="XRefPaste6" hidden="1">#REF!</definedName>
    <definedName name="XRefPaste6Row" localSheetId="4" hidden="1">#REF!</definedName>
    <definedName name="XRefPaste6Row" localSheetId="5" hidden="1">#REF!</definedName>
    <definedName name="XRefPaste6Row" hidden="1">#REF!</definedName>
    <definedName name="XRefPaste7" localSheetId="4" hidden="1">#REF!</definedName>
    <definedName name="XRefPaste7" localSheetId="5" hidden="1">#REF!</definedName>
    <definedName name="XRefPaste7" hidden="1">#REF!</definedName>
    <definedName name="XRefPaste7Row" localSheetId="4" hidden="1">#REF!</definedName>
    <definedName name="XRefPaste7Row" localSheetId="5" hidden="1">#REF!</definedName>
    <definedName name="XRefPaste7Row" hidden="1">#REF!</definedName>
    <definedName name="XRefPaste8Row" localSheetId="4" hidden="1">#REF!</definedName>
    <definedName name="XRefPaste8Row" localSheetId="5" hidden="1">#REF!</definedName>
    <definedName name="XRefPaste8Row" hidden="1">#REF!</definedName>
    <definedName name="XRefPaste9" localSheetId="4" hidden="1">#REF!</definedName>
    <definedName name="XRefPaste9" localSheetId="5" hidden="1">#REF!</definedName>
    <definedName name="XRefPaste9" hidden="1">#REF!</definedName>
    <definedName name="XRefPaste9Row" localSheetId="4" hidden="1">#REF!</definedName>
    <definedName name="XRefPaste9Row" localSheetId="5" hidden="1">#REF!</definedName>
    <definedName name="XRefPaste9Row" hidden="1">#REF!</definedName>
    <definedName name="XRefPasteRangeCount" hidden="1">5</definedName>
    <definedName name="XX" localSheetId="4">#REF!</definedName>
    <definedName name="XX" localSheetId="5">#REF!</definedName>
    <definedName name="XX" localSheetId="6">#REF!</definedName>
    <definedName name="XX">#REF!</definedName>
    <definedName name="XXX" localSheetId="4">#REF!</definedName>
    <definedName name="XXX" localSheetId="5">#REF!</definedName>
    <definedName name="XXX" localSheetId="6">#REF!</definedName>
    <definedName name="XXX">#REF!</definedName>
    <definedName name="yes" localSheetId="5" hidden="1">{#N/A,#N/A,FALSE,"Aging Summary";#N/A,#N/A,FALSE,"Ratio Analysis";#N/A,#N/A,FALSE,"Test 120 Day Accts";#N/A,#N/A,FALSE,"Tickmarks"}</definedName>
    <definedName name="yes" hidden="1">{#N/A,#N/A,FALSE,"Aging Summary";#N/A,#N/A,FALSE,"Ratio Analysis";#N/A,#N/A,FALSE,"Test 120 Day Accts";#N/A,#N/A,FALSE,"Tickmarks"}</definedName>
    <definedName name="yui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localSheetId="5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y" localSheetId="5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localSheetId="5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4" hidden="1">#REF!</definedName>
    <definedName name="Z_02B13A4A_FC5F_4F48_B0B3_5EAEDDC95ABC_.wvu.FilterData" localSheetId="5" hidden="1">#REF!</definedName>
    <definedName name="Z_02B13A4A_FC5F_4F48_B0B3_5EAEDDC95ABC_.wvu.FilterData" hidden="1">#REF!</definedName>
    <definedName name="Z_02B13A4A_FC5F_4F48_B0B3_5EAEDDC95ABC_.wvu.PrintArea" localSheetId="4" hidden="1">#REF!</definedName>
    <definedName name="Z_02B13A4A_FC5F_4F48_B0B3_5EAEDDC95ABC_.wvu.PrintArea" localSheetId="5" hidden="1">#REF!</definedName>
    <definedName name="Z_02B13A4A_FC5F_4F48_B0B3_5EAEDDC95ABC_.wvu.PrintArea" hidden="1">#REF!</definedName>
    <definedName name="Z_D68BB41E_D2D2_4D29_B750_BEA70A594FF0_.wvu.PrintArea" localSheetId="4" hidden="1">#REF!</definedName>
    <definedName name="Z_D68BB41E_D2D2_4D29_B750_BEA70A594FF0_.wvu.PrintArea" localSheetId="5" hidden="1">#REF!</definedName>
    <definedName name="Z_D68BB41E_D2D2_4D29_B750_BEA70A594FF0_.wvu.PrintArea" hidden="1">#REF!</definedName>
    <definedName name="Z_D68BB41E_D2D2_4D29_B750_BEA70A594FF0_.wvu.Rows" localSheetId="4" hidden="1">#REF!,#REF!</definedName>
    <definedName name="Z_D68BB41E_D2D2_4D29_B750_BEA70A594FF0_.wvu.Rows" localSheetId="5" hidden="1">#REF!,#REF!</definedName>
    <definedName name="Z_D68BB41E_D2D2_4D29_B750_BEA70A594FF0_.wvu.Rows" hidden="1">#REF!,#REF!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32" i="1" l="1"/>
  <c r="D5" i="5"/>
  <c r="C38" i="5"/>
  <c r="T23" i="7"/>
  <c r="C5" i="5"/>
  <c r="C6" i="5"/>
  <c r="D6" i="5"/>
  <c r="D18" i="5"/>
  <c r="C37" i="5"/>
  <c r="C39" i="5"/>
  <c r="C54" i="5"/>
  <c r="C53" i="5"/>
  <c r="C52" i="5"/>
  <c r="D37" i="5"/>
  <c r="E37" i="5" s="1"/>
  <c r="G37" i="5" s="1"/>
  <c r="D13" i="5"/>
  <c r="A14" i="5"/>
  <c r="A13" i="5"/>
  <c r="C13" i="5"/>
  <c r="E13" i="5" s="1"/>
  <c r="G13" i="5" s="1"/>
  <c r="D12" i="5"/>
  <c r="C12" i="5"/>
  <c r="D39" i="5"/>
  <c r="D38" i="5"/>
  <c r="C18" i="5"/>
  <c r="D17" i="5"/>
  <c r="A18" i="5"/>
  <c r="A16" i="5"/>
  <c r="S110" i="2"/>
  <c r="S109" i="2"/>
  <c r="R106" i="2"/>
  <c r="S112" i="2"/>
  <c r="S113" i="2" s="1"/>
  <c r="R112" i="2"/>
  <c r="S108" i="2"/>
  <c r="S107" i="2"/>
  <c r="S111" i="2"/>
  <c r="R104" i="2"/>
  <c r="R103" i="2"/>
  <c r="E54" i="5"/>
  <c r="C55" i="5"/>
  <c r="E55" i="5" s="1"/>
  <c r="L41" i="7"/>
  <c r="L40" i="7"/>
  <c r="L36" i="7"/>
  <c r="L35" i="7"/>
  <c r="L33" i="7"/>
  <c r="L28" i="7"/>
  <c r="L27" i="7"/>
  <c r="L26" i="7"/>
  <c r="L25" i="7"/>
  <c r="L24" i="7"/>
  <c r="L23" i="7"/>
  <c r="L22" i="7"/>
  <c r="L18" i="7"/>
  <c r="L16" i="7"/>
  <c r="L15" i="7"/>
  <c r="L14" i="7"/>
  <c r="L12" i="7"/>
  <c r="L11" i="7"/>
  <c r="L13" i="7"/>
  <c r="F66" i="6"/>
  <c r="B64" i="6"/>
  <c r="B63" i="6"/>
  <c r="B62" i="6"/>
  <c r="B61" i="6"/>
  <c r="B60" i="6"/>
  <c r="B59" i="6"/>
  <c r="B58" i="6"/>
  <c r="G54" i="6"/>
  <c r="G53" i="6"/>
  <c r="G52" i="6"/>
  <c r="G51" i="6"/>
  <c r="G50" i="6"/>
  <c r="G49" i="6"/>
  <c r="G48" i="6"/>
  <c r="G47" i="6"/>
  <c r="G68" i="6" s="1"/>
  <c r="G46" i="6"/>
  <c r="G45" i="6"/>
  <c r="G81" i="6" s="1"/>
  <c r="G82" i="6" s="1"/>
  <c r="G44" i="6"/>
  <c r="G43" i="6"/>
  <c r="G42" i="6"/>
  <c r="G41" i="6"/>
  <c r="G40" i="6"/>
  <c r="G39" i="6"/>
  <c r="G38" i="6"/>
  <c r="G37" i="6"/>
  <c r="G36" i="6"/>
  <c r="G34" i="6"/>
  <c r="G33" i="6"/>
  <c r="G32" i="6"/>
  <c r="G31" i="6"/>
  <c r="G30" i="6"/>
  <c r="G19" i="6"/>
  <c r="G18" i="6"/>
  <c r="G17" i="6"/>
  <c r="G16" i="6"/>
  <c r="G15" i="6"/>
  <c r="F15" i="6"/>
  <c r="E15" i="6"/>
  <c r="E29" i="6" s="1"/>
  <c r="D15" i="6"/>
  <c r="G13" i="6"/>
  <c r="G12" i="6"/>
  <c r="F12" i="6"/>
  <c r="E12" i="6"/>
  <c r="D12" i="6"/>
  <c r="G11" i="6"/>
  <c r="G10" i="6"/>
  <c r="G8" i="6"/>
  <c r="G7" i="6"/>
  <c r="G6" i="6"/>
  <c r="G5" i="6" s="1"/>
  <c r="F5" i="6"/>
  <c r="F29" i="6" s="1"/>
  <c r="E5" i="6"/>
  <c r="D5" i="6"/>
  <c r="D29" i="6" s="1"/>
  <c r="D80" i="5"/>
  <c r="E80" i="5" s="1"/>
  <c r="D79" i="5"/>
  <c r="E79" i="5" s="1"/>
  <c r="D78" i="5"/>
  <c r="E78" i="5" s="1"/>
  <c r="D77" i="5"/>
  <c r="E77" i="5" s="1"/>
  <c r="D76" i="5"/>
  <c r="E76" i="5" s="1"/>
  <c r="F75" i="5"/>
  <c r="E75" i="5"/>
  <c r="C74" i="5"/>
  <c r="E74" i="5" s="1"/>
  <c r="C73" i="5"/>
  <c r="E73" i="5" s="1"/>
  <c r="C72" i="5"/>
  <c r="E72" i="5" s="1"/>
  <c r="C71" i="5"/>
  <c r="C70" i="5"/>
  <c r="E70" i="5" s="1"/>
  <c r="C69" i="5"/>
  <c r="E69" i="5" s="1"/>
  <c r="C68" i="5"/>
  <c r="E68" i="5" s="1"/>
  <c r="C67" i="5"/>
  <c r="E67" i="5" s="1"/>
  <c r="C66" i="5"/>
  <c r="F66" i="5" s="1"/>
  <c r="C65" i="5"/>
  <c r="E65" i="5" s="1"/>
  <c r="C64" i="5"/>
  <c r="F64" i="5" s="1"/>
  <c r="F63" i="5"/>
  <c r="E63" i="5"/>
  <c r="F62" i="5"/>
  <c r="E62" i="5"/>
  <c r="F61" i="5"/>
  <c r="E61" i="5"/>
  <c r="F60" i="5"/>
  <c r="E60" i="5"/>
  <c r="C59" i="5"/>
  <c r="E59" i="5" s="1"/>
  <c r="C58" i="5"/>
  <c r="E58" i="5" s="1"/>
  <c r="C57" i="5"/>
  <c r="E57" i="5" s="1"/>
  <c r="F56" i="5"/>
  <c r="E56" i="5"/>
  <c r="C51" i="5"/>
  <c r="E51" i="5" s="1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B20" i="5"/>
  <c r="D19" i="5"/>
  <c r="C19" i="5"/>
  <c r="C17" i="5"/>
  <c r="D16" i="5"/>
  <c r="C16" i="5"/>
  <c r="D15" i="5"/>
  <c r="C15" i="5"/>
  <c r="D14" i="5"/>
  <c r="C14" i="5"/>
  <c r="D11" i="5"/>
  <c r="C11" i="5"/>
  <c r="D10" i="5"/>
  <c r="C10" i="5"/>
  <c r="A10" i="5"/>
  <c r="D9" i="5"/>
  <c r="C9" i="5"/>
  <c r="D8" i="5"/>
  <c r="C8" i="5"/>
  <c r="C7" i="5"/>
  <c r="D7" i="5" s="1"/>
  <c r="E39" i="5" l="1"/>
  <c r="G39" i="5" s="1"/>
  <c r="E18" i="5"/>
  <c r="G18" i="5" s="1"/>
  <c r="E40" i="5"/>
  <c r="G40" i="5" s="1"/>
  <c r="E41" i="5"/>
  <c r="G41" i="5" s="1"/>
  <c r="E42" i="5"/>
  <c r="G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50" i="5"/>
  <c r="H50" i="5" s="1"/>
  <c r="J62" i="5"/>
  <c r="F17" i="5"/>
  <c r="H17" i="5" s="1"/>
  <c r="F13" i="5"/>
  <c r="H13" i="5" s="1"/>
  <c r="D35" i="6"/>
  <c r="D66" i="6"/>
  <c r="E17" i="5"/>
  <c r="G17" i="5" s="1"/>
  <c r="I60" i="5"/>
  <c r="I63" i="5"/>
  <c r="F18" i="5"/>
  <c r="H18" i="5" s="1"/>
  <c r="G29" i="6"/>
  <c r="D67" i="6"/>
  <c r="E66" i="5"/>
  <c r="J66" i="5" s="1"/>
  <c r="F55" i="5"/>
  <c r="I55" i="5" s="1"/>
  <c r="F59" i="5"/>
  <c r="J59" i="5" s="1"/>
  <c r="E64" i="5"/>
  <c r="J64" i="5" s="1"/>
  <c r="F54" i="5"/>
  <c r="F58" i="5"/>
  <c r="I58" i="5" s="1"/>
  <c r="I66" i="5"/>
  <c r="F68" i="5"/>
  <c r="J68" i="5" s="1"/>
  <c r="F70" i="5"/>
  <c r="I70" i="5" s="1"/>
  <c r="F72" i="5"/>
  <c r="J72" i="5" s="1"/>
  <c r="F74" i="5"/>
  <c r="J74" i="5" s="1"/>
  <c r="F77" i="5"/>
  <c r="J77" i="5" s="1"/>
  <c r="F79" i="5"/>
  <c r="J79" i="5" s="1"/>
  <c r="E6" i="5"/>
  <c r="G6" i="5" s="1"/>
  <c r="E7" i="5"/>
  <c r="G7" i="5" s="1"/>
  <c r="E8" i="5"/>
  <c r="G8" i="5" s="1"/>
  <c r="E9" i="5"/>
  <c r="G9" i="5" s="1"/>
  <c r="F11" i="5"/>
  <c r="H11" i="5" s="1"/>
  <c r="F12" i="5"/>
  <c r="H12" i="5" s="1"/>
  <c r="F14" i="5"/>
  <c r="H14" i="5" s="1"/>
  <c r="F15" i="5"/>
  <c r="H15" i="5" s="1"/>
  <c r="F16" i="5"/>
  <c r="H16" i="5" s="1"/>
  <c r="F19" i="5"/>
  <c r="H19" i="5" s="1"/>
  <c r="E20" i="5"/>
  <c r="G20" i="5" s="1"/>
  <c r="E21" i="5"/>
  <c r="G21" i="5" s="1"/>
  <c r="E22" i="5"/>
  <c r="G22" i="5" s="1"/>
  <c r="E23" i="5"/>
  <c r="G23" i="5" s="1"/>
  <c r="E24" i="5"/>
  <c r="G24" i="5" s="1"/>
  <c r="E25" i="5"/>
  <c r="G25" i="5" s="1"/>
  <c r="E26" i="5"/>
  <c r="G26" i="5" s="1"/>
  <c r="E27" i="5"/>
  <c r="G27" i="5" s="1"/>
  <c r="E28" i="5"/>
  <c r="G28" i="5" s="1"/>
  <c r="E29" i="5"/>
  <c r="G29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E36" i="5"/>
  <c r="G36" i="5" s="1"/>
  <c r="J56" i="5"/>
  <c r="J60" i="5"/>
  <c r="I61" i="5"/>
  <c r="I62" i="5"/>
  <c r="F67" i="5"/>
  <c r="J67" i="5" s="1"/>
  <c r="J75" i="5"/>
  <c r="E5" i="5"/>
  <c r="E43" i="5"/>
  <c r="G43" i="5" s="1"/>
  <c r="E44" i="5"/>
  <c r="G44" i="5" s="1"/>
  <c r="E45" i="5"/>
  <c r="G45" i="5" s="1"/>
  <c r="E46" i="5"/>
  <c r="G46" i="5" s="1"/>
  <c r="E47" i="5"/>
  <c r="G47" i="5" s="1"/>
  <c r="E48" i="5"/>
  <c r="G48" i="5" s="1"/>
  <c r="E49" i="5"/>
  <c r="G49" i="5" s="1"/>
  <c r="E50" i="5"/>
  <c r="G50" i="5" s="1"/>
  <c r="F5" i="5"/>
  <c r="F6" i="5"/>
  <c r="H6" i="5" s="1"/>
  <c r="F7" i="5"/>
  <c r="H7" i="5" s="1"/>
  <c r="F8" i="5"/>
  <c r="H8" i="5" s="1"/>
  <c r="F9" i="5"/>
  <c r="H9" i="5" s="1"/>
  <c r="E10" i="5"/>
  <c r="G10" i="5" s="1"/>
  <c r="F10" i="5"/>
  <c r="H10" i="5" s="1"/>
  <c r="E11" i="5"/>
  <c r="G11" i="5" s="1"/>
  <c r="E12" i="5"/>
  <c r="G12" i="5" s="1"/>
  <c r="E14" i="5"/>
  <c r="G14" i="5" s="1"/>
  <c r="E15" i="5"/>
  <c r="G15" i="5" s="1"/>
  <c r="E16" i="5"/>
  <c r="G16" i="5" s="1"/>
  <c r="E19" i="5"/>
  <c r="G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9" i="5"/>
  <c r="H39" i="5" s="1"/>
  <c r="F40" i="5"/>
  <c r="H40" i="5" s="1"/>
  <c r="F41" i="5"/>
  <c r="H41" i="5" s="1"/>
  <c r="F42" i="5"/>
  <c r="H42" i="5" s="1"/>
  <c r="F51" i="5"/>
  <c r="I51" i="5" s="1"/>
  <c r="J55" i="5"/>
  <c r="I56" i="5"/>
  <c r="F57" i="5"/>
  <c r="J57" i="5" s="1"/>
  <c r="J61" i="5"/>
  <c r="J63" i="5"/>
  <c r="F65" i="5"/>
  <c r="J65" i="5" s="1"/>
  <c r="F69" i="5"/>
  <c r="J69" i="5" s="1"/>
  <c r="E71" i="5"/>
  <c r="F71" i="5"/>
  <c r="F73" i="5"/>
  <c r="J73" i="5" s="1"/>
  <c r="I75" i="5"/>
  <c r="F76" i="5"/>
  <c r="J76" i="5" s="1"/>
  <c r="F78" i="5"/>
  <c r="J78" i="5" s="1"/>
  <c r="F80" i="5"/>
  <c r="J80" i="5" s="1"/>
  <c r="J71" i="5" l="1"/>
  <c r="J70" i="5"/>
  <c r="I67" i="5"/>
  <c r="J58" i="5"/>
  <c r="I64" i="5"/>
  <c r="I80" i="5"/>
  <c r="I59" i="5"/>
  <c r="I54" i="5"/>
  <c r="J54" i="5"/>
  <c r="I79" i="5"/>
  <c r="I74" i="5"/>
  <c r="I76" i="5"/>
  <c r="I77" i="5"/>
  <c r="I72" i="5"/>
  <c r="I68" i="5"/>
  <c r="H5" i="5"/>
  <c r="I65" i="5"/>
  <c r="I78" i="5"/>
  <c r="I73" i="5"/>
  <c r="I71" i="5"/>
  <c r="I69" i="5"/>
  <c r="I57" i="5"/>
  <c r="G5" i="5"/>
  <c r="AN32" i="1" l="1"/>
  <c r="AP32" i="1"/>
  <c r="AR32" i="1"/>
  <c r="AT32" i="1"/>
  <c r="BI25" i="1"/>
  <c r="BG25" i="1"/>
  <c r="BE25" i="1"/>
  <c r="BC25" i="1"/>
  <c r="BA25" i="1"/>
  <c r="AY25" i="1"/>
  <c r="AW25" i="1"/>
  <c r="AU25" i="1"/>
  <c r="AQ25" i="1"/>
  <c r="AO25" i="1"/>
  <c r="AM25" i="1"/>
  <c r="AL32" i="1"/>
  <c r="BC24" i="1"/>
  <c r="BA24" i="1"/>
  <c r="AY24" i="1"/>
  <c r="AW24" i="1"/>
  <c r="AU24" i="1"/>
  <c r="AS24" i="1"/>
  <c r="AQ24" i="1"/>
  <c r="AO24" i="1"/>
  <c r="AM24" i="1"/>
  <c r="BI23" i="1"/>
  <c r="BG23" i="1"/>
  <c r="BE23" i="1"/>
  <c r="BC23" i="1"/>
  <c r="BA23" i="1"/>
  <c r="AY23" i="1"/>
  <c r="AW23" i="1"/>
  <c r="AU23" i="1"/>
  <c r="AS23" i="1"/>
  <c r="AQ23" i="1"/>
  <c r="AO23" i="1"/>
  <c r="AM23" i="1"/>
  <c r="R157" i="3"/>
  <c r="R158" i="3" s="1"/>
  <c r="R156" i="3"/>
  <c r="R153" i="3"/>
  <c r="R154" i="3" s="1"/>
  <c r="R155" i="3" s="1"/>
  <c r="R151" i="3"/>
  <c r="R152" i="3" s="1"/>
  <c r="R150" i="3"/>
  <c r="R147" i="3"/>
  <c r="R148" i="3" s="1"/>
  <c r="R72" i="3"/>
  <c r="R69" i="3"/>
  <c r="R66" i="3"/>
  <c r="R65" i="3"/>
  <c r="R64" i="3"/>
  <c r="R63" i="3"/>
  <c r="Q185" i="3"/>
  <c r="Q159" i="3"/>
  <c r="Q150" i="3"/>
  <c r="Q117" i="3"/>
  <c r="R114" i="3"/>
  <c r="R115" i="3" s="1"/>
  <c r="Q114" i="3"/>
  <c r="R111" i="3"/>
  <c r="R112" i="3" s="1"/>
  <c r="Q111" i="3"/>
  <c r="R108" i="3"/>
  <c r="R109" i="3" s="1"/>
  <c r="Q108" i="3"/>
  <c r="R107" i="3"/>
  <c r="Q107" i="3"/>
  <c r="R106" i="3"/>
  <c r="Q106" i="3"/>
  <c r="R105" i="3"/>
  <c r="Q105" i="3"/>
  <c r="Q75" i="3"/>
  <c r="R73" i="3"/>
  <c r="Q72" i="3"/>
  <c r="R70" i="3"/>
  <c r="Q69" i="3"/>
  <c r="R67" i="3"/>
  <c r="Q66" i="3"/>
  <c r="Q65" i="3"/>
  <c r="Q64" i="3"/>
  <c r="Q63" i="3"/>
  <c r="Q22" i="3"/>
  <c r="Q23" i="3"/>
  <c r="Q34" i="3" s="1"/>
  <c r="Q24" i="3"/>
  <c r="Q25" i="3"/>
  <c r="Q26" i="3"/>
  <c r="Q27" i="3"/>
  <c r="Q28" i="3"/>
  <c r="Q29" i="3"/>
  <c r="Q30" i="3"/>
  <c r="Q31" i="3"/>
  <c r="Q32" i="3"/>
  <c r="Q21" i="3"/>
  <c r="R32" i="3"/>
  <c r="R31" i="3"/>
  <c r="R30" i="3"/>
  <c r="R29" i="3"/>
  <c r="R28" i="3"/>
  <c r="R27" i="3"/>
  <c r="R26" i="3"/>
  <c r="R25" i="3"/>
  <c r="R24" i="3"/>
  <c r="R22" i="3"/>
  <c r="R23" i="3"/>
  <c r="R21" i="3"/>
  <c r="Q33" i="3"/>
  <c r="G32" i="1"/>
  <c r="F40" i="1"/>
  <c r="R149" i="3" l="1"/>
  <c r="Q149" i="3" s="1"/>
  <c r="Q175" i="3" s="1"/>
  <c r="Q148" i="3"/>
  <c r="Q173" i="3"/>
  <c r="Q174" i="3"/>
  <c r="Q176" i="3"/>
  <c r="Q147" i="3"/>
  <c r="Q151" i="3"/>
  <c r="R110" i="3"/>
  <c r="Q110" i="3" s="1"/>
  <c r="Q109" i="3"/>
  <c r="R113" i="3"/>
  <c r="Q113" i="3" s="1"/>
  <c r="Q112" i="3"/>
  <c r="R116" i="3"/>
  <c r="Q116" i="3" s="1"/>
  <c r="Q115" i="3"/>
  <c r="Q118" i="3"/>
  <c r="R68" i="3"/>
  <c r="Q68" i="3" s="1"/>
  <c r="Q67" i="3"/>
  <c r="R71" i="3"/>
  <c r="Q71" i="3" s="1"/>
  <c r="Q70" i="3"/>
  <c r="R74" i="3"/>
  <c r="Q74" i="3" s="1"/>
  <c r="Q73" i="3"/>
  <c r="C45" i="1"/>
  <c r="P159" i="3"/>
  <c r="P151" i="3"/>
  <c r="P150" i="3"/>
  <c r="P149" i="3"/>
  <c r="P148" i="3"/>
  <c r="P147" i="3"/>
  <c r="I179" i="3"/>
  <c r="I175" i="3"/>
  <c r="I153" i="3"/>
  <c r="I149" i="3"/>
  <c r="I111" i="3"/>
  <c r="I107" i="3"/>
  <c r="I69" i="3"/>
  <c r="I65" i="3"/>
  <c r="I27" i="3"/>
  <c r="I23" i="3"/>
  <c r="Q180" i="3" l="1"/>
  <c r="Q76" i="3"/>
  <c r="Q177" i="3"/>
  <c r="R99" i="2"/>
  <c r="W100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H98" i="2"/>
  <c r="G158" i="3"/>
  <c r="M158" i="3" s="1"/>
  <c r="C158" i="3"/>
  <c r="B158" i="3"/>
  <c r="C157" i="3"/>
  <c r="B157" i="3"/>
  <c r="C156" i="3"/>
  <c r="G156" i="3"/>
  <c r="B156" i="3"/>
  <c r="C155" i="3"/>
  <c r="B155" i="3"/>
  <c r="C154" i="3"/>
  <c r="G154" i="3"/>
  <c r="G155" i="3" s="1"/>
  <c r="B154" i="3"/>
  <c r="Q154" i="3" s="1"/>
  <c r="C153" i="3"/>
  <c r="C160" i="3" s="1"/>
  <c r="B153" i="3"/>
  <c r="G152" i="3"/>
  <c r="G153" i="3" s="1"/>
  <c r="M153" i="3" s="1"/>
  <c r="C152" i="3"/>
  <c r="G70" i="3"/>
  <c r="G68" i="3"/>
  <c r="G63" i="3"/>
  <c r="B152" i="3"/>
  <c r="B140" i="3"/>
  <c r="D26" i="1" s="1"/>
  <c r="H139" i="3"/>
  <c r="I160" i="3"/>
  <c r="H160" i="3"/>
  <c r="F160" i="3"/>
  <c r="E160" i="3"/>
  <c r="N158" i="3"/>
  <c r="L158" i="3"/>
  <c r="K158" i="3"/>
  <c r="N157" i="3"/>
  <c r="L157" i="3"/>
  <c r="K157" i="3"/>
  <c r="N156" i="3"/>
  <c r="L156" i="3"/>
  <c r="K156" i="3"/>
  <c r="N155" i="3"/>
  <c r="L155" i="3"/>
  <c r="K155" i="3"/>
  <c r="N154" i="3"/>
  <c r="L154" i="3"/>
  <c r="K154" i="3"/>
  <c r="N153" i="3"/>
  <c r="L153" i="3"/>
  <c r="K153" i="3"/>
  <c r="N152" i="3"/>
  <c r="L152" i="3"/>
  <c r="K152" i="3"/>
  <c r="N151" i="3"/>
  <c r="M151" i="3"/>
  <c r="L151" i="3"/>
  <c r="K151" i="3"/>
  <c r="D151" i="3"/>
  <c r="J151" i="3" s="1"/>
  <c r="N150" i="3"/>
  <c r="M150" i="3"/>
  <c r="L150" i="3"/>
  <c r="K150" i="3"/>
  <c r="J150" i="3"/>
  <c r="N149" i="3"/>
  <c r="M149" i="3"/>
  <c r="L149" i="3"/>
  <c r="K149" i="3"/>
  <c r="D149" i="3"/>
  <c r="J149" i="3" s="1"/>
  <c r="N148" i="3"/>
  <c r="M148" i="3"/>
  <c r="L148" i="3"/>
  <c r="K148" i="3"/>
  <c r="D148" i="3"/>
  <c r="J148" i="3" s="1"/>
  <c r="N147" i="3"/>
  <c r="M147" i="3"/>
  <c r="L147" i="3"/>
  <c r="K147" i="3"/>
  <c r="C131" i="3"/>
  <c r="C129" i="3"/>
  <c r="B98" i="3"/>
  <c r="D25" i="1" s="1"/>
  <c r="H97" i="3"/>
  <c r="B56" i="3"/>
  <c r="D24" i="1" s="1"/>
  <c r="H55" i="3"/>
  <c r="B21" i="3"/>
  <c r="B22" i="3"/>
  <c r="B23" i="3"/>
  <c r="B24" i="3"/>
  <c r="B25" i="3"/>
  <c r="B26" i="3"/>
  <c r="B27" i="3"/>
  <c r="B28" i="3"/>
  <c r="B29" i="3"/>
  <c r="B30" i="3"/>
  <c r="B31" i="3"/>
  <c r="B32" i="3"/>
  <c r="P32" i="3" s="1"/>
  <c r="C21" i="3"/>
  <c r="C22" i="3"/>
  <c r="C23" i="3"/>
  <c r="C24" i="3"/>
  <c r="C25" i="3"/>
  <c r="C26" i="3"/>
  <c r="C27" i="3"/>
  <c r="C28" i="3"/>
  <c r="C29" i="3"/>
  <c r="C30" i="3"/>
  <c r="C31" i="3"/>
  <c r="C32" i="3"/>
  <c r="E21" i="3"/>
  <c r="E173" i="3" s="1"/>
  <c r="E22" i="3"/>
  <c r="E174" i="3" s="1"/>
  <c r="E23" i="3"/>
  <c r="E175" i="3" s="1"/>
  <c r="E24" i="3"/>
  <c r="E25" i="3"/>
  <c r="E177" i="3" s="1"/>
  <c r="E26" i="3"/>
  <c r="E27" i="3"/>
  <c r="E179" i="3" s="1"/>
  <c r="E28" i="3"/>
  <c r="E180" i="3" s="1"/>
  <c r="E29" i="3"/>
  <c r="E181" i="3" s="1"/>
  <c r="E30" i="3"/>
  <c r="E182" i="3" s="1"/>
  <c r="E31" i="3"/>
  <c r="E183" i="3" s="1"/>
  <c r="E32" i="3"/>
  <c r="B14" i="3"/>
  <c r="D23" i="1" s="1"/>
  <c r="H13" i="3"/>
  <c r="D12" i="4"/>
  <c r="D11" i="4"/>
  <c r="C11" i="1"/>
  <c r="H186" i="3"/>
  <c r="P185" i="3"/>
  <c r="D185" i="3"/>
  <c r="N184" i="3"/>
  <c r="L184" i="3"/>
  <c r="N183" i="3"/>
  <c r="L183" i="3"/>
  <c r="N182" i="3"/>
  <c r="L182" i="3"/>
  <c r="N181" i="3"/>
  <c r="L181" i="3"/>
  <c r="N180" i="3"/>
  <c r="L180" i="3"/>
  <c r="N179" i="3"/>
  <c r="L179" i="3"/>
  <c r="N178" i="3"/>
  <c r="L178" i="3"/>
  <c r="N177" i="3"/>
  <c r="L177" i="3"/>
  <c r="N176" i="3"/>
  <c r="L176" i="3"/>
  <c r="N175" i="3"/>
  <c r="L175" i="3"/>
  <c r="N174" i="3"/>
  <c r="L174" i="3"/>
  <c r="N173" i="3"/>
  <c r="L173" i="3"/>
  <c r="L186" i="3" s="1"/>
  <c r="I118" i="3"/>
  <c r="H118" i="3"/>
  <c r="G118" i="3"/>
  <c r="F118" i="3"/>
  <c r="E118" i="3"/>
  <c r="P117" i="3"/>
  <c r="N116" i="3"/>
  <c r="M116" i="3"/>
  <c r="L116" i="3"/>
  <c r="K116" i="3"/>
  <c r="C116" i="3"/>
  <c r="B116" i="3"/>
  <c r="P116" i="3" s="1"/>
  <c r="N115" i="3"/>
  <c r="M115" i="3"/>
  <c r="L115" i="3"/>
  <c r="K115" i="3"/>
  <c r="C115" i="3"/>
  <c r="B115" i="3"/>
  <c r="N114" i="3"/>
  <c r="M114" i="3"/>
  <c r="L114" i="3"/>
  <c r="K114" i="3"/>
  <c r="C114" i="3"/>
  <c r="B114" i="3"/>
  <c r="P114" i="3" s="1"/>
  <c r="N113" i="3"/>
  <c r="M113" i="3"/>
  <c r="L113" i="3"/>
  <c r="K113" i="3"/>
  <c r="C113" i="3"/>
  <c r="B113" i="3"/>
  <c r="P113" i="3" s="1"/>
  <c r="N112" i="3"/>
  <c r="M112" i="3"/>
  <c r="L112" i="3"/>
  <c r="K112" i="3"/>
  <c r="C112" i="3"/>
  <c r="B112" i="3"/>
  <c r="P112" i="3" s="1"/>
  <c r="N111" i="3"/>
  <c r="M111" i="3"/>
  <c r="L111" i="3"/>
  <c r="K111" i="3"/>
  <c r="C111" i="3"/>
  <c r="B111" i="3"/>
  <c r="N110" i="3"/>
  <c r="M110" i="3"/>
  <c r="L110" i="3"/>
  <c r="K110" i="3"/>
  <c r="C110" i="3"/>
  <c r="B110" i="3"/>
  <c r="P110" i="3" s="1"/>
  <c r="N109" i="3"/>
  <c r="M109" i="3"/>
  <c r="L109" i="3"/>
  <c r="K109" i="3"/>
  <c r="C109" i="3"/>
  <c r="B109" i="3"/>
  <c r="P109" i="3" s="1"/>
  <c r="N108" i="3"/>
  <c r="M108" i="3"/>
  <c r="L108" i="3"/>
  <c r="K108" i="3"/>
  <c r="P108" i="3"/>
  <c r="N107" i="3"/>
  <c r="M107" i="3"/>
  <c r="L107" i="3"/>
  <c r="K107" i="3"/>
  <c r="C107" i="3"/>
  <c r="B107" i="3"/>
  <c r="N106" i="3"/>
  <c r="M106" i="3"/>
  <c r="L106" i="3"/>
  <c r="K106" i="3"/>
  <c r="C106" i="3"/>
  <c r="B106" i="3"/>
  <c r="P106" i="3" s="1"/>
  <c r="N105" i="3"/>
  <c r="M105" i="3"/>
  <c r="L105" i="3"/>
  <c r="K105" i="3"/>
  <c r="C105" i="3"/>
  <c r="B105" i="3"/>
  <c r="C98" i="3"/>
  <c r="L91" i="3"/>
  <c r="L83" i="3"/>
  <c r="L125" i="3" s="1"/>
  <c r="L167" i="3" s="1"/>
  <c r="L81" i="3"/>
  <c r="L123" i="3" s="1"/>
  <c r="I76" i="3"/>
  <c r="H76" i="3"/>
  <c r="F76" i="3"/>
  <c r="P75" i="3"/>
  <c r="N74" i="3"/>
  <c r="L74" i="3"/>
  <c r="G74" i="3"/>
  <c r="M74" i="3" s="1"/>
  <c r="E74" i="3"/>
  <c r="K74" i="3" s="1"/>
  <c r="P74" i="3"/>
  <c r="N73" i="3"/>
  <c r="L73" i="3"/>
  <c r="G73" i="3"/>
  <c r="M73" i="3" s="1"/>
  <c r="E73" i="3"/>
  <c r="K73" i="3" s="1"/>
  <c r="P73" i="3"/>
  <c r="N72" i="3"/>
  <c r="L72" i="3"/>
  <c r="E72" i="3"/>
  <c r="K72" i="3" s="1"/>
  <c r="N71" i="3"/>
  <c r="L71" i="3"/>
  <c r="E71" i="3"/>
  <c r="K71" i="3" s="1"/>
  <c r="C71" i="3"/>
  <c r="B71" i="3"/>
  <c r="P71" i="3" s="1"/>
  <c r="N70" i="3"/>
  <c r="L70" i="3"/>
  <c r="E70" i="3"/>
  <c r="K70" i="3" s="1"/>
  <c r="C70" i="3"/>
  <c r="B70" i="3"/>
  <c r="P70" i="3" s="1"/>
  <c r="N69" i="3"/>
  <c r="L69" i="3"/>
  <c r="E69" i="3"/>
  <c r="K69" i="3" s="1"/>
  <c r="C69" i="3"/>
  <c r="B69" i="3"/>
  <c r="P69" i="3" s="1"/>
  <c r="N68" i="3"/>
  <c r="L68" i="3"/>
  <c r="E68" i="3"/>
  <c r="K68" i="3" s="1"/>
  <c r="C68" i="3"/>
  <c r="B68" i="3"/>
  <c r="N67" i="3"/>
  <c r="L67" i="3"/>
  <c r="E67" i="3"/>
  <c r="K67" i="3" s="1"/>
  <c r="C67" i="3"/>
  <c r="B67" i="3"/>
  <c r="P67" i="3" s="1"/>
  <c r="N66" i="3"/>
  <c r="L66" i="3"/>
  <c r="E66" i="3"/>
  <c r="K66" i="3" s="1"/>
  <c r="C66" i="3"/>
  <c r="B66" i="3"/>
  <c r="P66" i="3" s="1"/>
  <c r="N65" i="3"/>
  <c r="L65" i="3"/>
  <c r="E65" i="3"/>
  <c r="K65" i="3" s="1"/>
  <c r="C65" i="3"/>
  <c r="B65" i="3"/>
  <c r="P65" i="3" s="1"/>
  <c r="N64" i="3"/>
  <c r="L64" i="3"/>
  <c r="E64" i="3"/>
  <c r="K64" i="3" s="1"/>
  <c r="C64" i="3"/>
  <c r="B64" i="3"/>
  <c r="N63" i="3"/>
  <c r="L63" i="3"/>
  <c r="E63" i="3"/>
  <c r="C63" i="3"/>
  <c r="B63" i="3"/>
  <c r="P63" i="3" s="1"/>
  <c r="C56" i="3"/>
  <c r="C140" i="3" s="1"/>
  <c r="L49" i="3"/>
  <c r="L133" i="3" s="1"/>
  <c r="K49" i="3"/>
  <c r="K91" i="3" s="1"/>
  <c r="K133" i="3" s="1"/>
  <c r="M48" i="3"/>
  <c r="M90" i="3" s="1"/>
  <c r="M132" i="3" s="1"/>
  <c r="C47" i="3"/>
  <c r="C89" i="3" s="1"/>
  <c r="C46" i="3"/>
  <c r="C88" i="3" s="1"/>
  <c r="C130" i="3" s="1"/>
  <c r="C45" i="3"/>
  <c r="C87" i="3" s="1"/>
  <c r="C44" i="3"/>
  <c r="I34" i="3"/>
  <c r="H34" i="3"/>
  <c r="F34" i="3"/>
  <c r="P33" i="3"/>
  <c r="N32" i="3"/>
  <c r="L32" i="3"/>
  <c r="G32" i="3"/>
  <c r="M32" i="3" s="1"/>
  <c r="N31" i="3"/>
  <c r="L31" i="3"/>
  <c r="G31" i="3"/>
  <c r="N30" i="3"/>
  <c r="L30" i="3"/>
  <c r="G30" i="3"/>
  <c r="N29" i="3"/>
  <c r="L29" i="3"/>
  <c r="G29" i="3"/>
  <c r="N28" i="3"/>
  <c r="L28" i="3"/>
  <c r="G28" i="3"/>
  <c r="N27" i="3"/>
  <c r="L27" i="3"/>
  <c r="G27" i="3"/>
  <c r="N26" i="3"/>
  <c r="L26" i="3"/>
  <c r="G26" i="3"/>
  <c r="N25" i="3"/>
  <c r="L25" i="3"/>
  <c r="G25" i="3"/>
  <c r="N24" i="3"/>
  <c r="L24" i="3"/>
  <c r="G24" i="3"/>
  <c r="N23" i="3"/>
  <c r="L23" i="3"/>
  <c r="G23" i="3"/>
  <c r="N22" i="3"/>
  <c r="L22" i="3"/>
  <c r="G22" i="3"/>
  <c r="N21" i="3"/>
  <c r="L21" i="3"/>
  <c r="G21" i="3"/>
  <c r="B13" i="3"/>
  <c r="AB95" i="2"/>
  <c r="Y95" i="2"/>
  <c r="X95" i="2"/>
  <c r="W95" i="2"/>
  <c r="V95" i="2"/>
  <c r="U95" i="2"/>
  <c r="S95" i="2"/>
  <c r="R95" i="2"/>
  <c r="Q95" i="2"/>
  <c r="O95" i="2"/>
  <c r="M95" i="2"/>
  <c r="L95" i="2"/>
  <c r="K95" i="2"/>
  <c r="J95" i="2"/>
  <c r="I95" i="2"/>
  <c r="H95" i="2"/>
  <c r="Z94" i="2"/>
  <c r="N94" i="2"/>
  <c r="T94" i="2" s="1"/>
  <c r="Z93" i="2"/>
  <c r="P93" i="2"/>
  <c r="P95" i="2" s="1"/>
  <c r="N93" i="2"/>
  <c r="B94" i="2"/>
  <c r="Z92" i="2"/>
  <c r="N92" i="2"/>
  <c r="T92" i="2" s="1"/>
  <c r="AB88" i="2"/>
  <c r="Y88" i="2"/>
  <c r="X88" i="2"/>
  <c r="W88" i="2"/>
  <c r="V88" i="2"/>
  <c r="U88" i="2"/>
  <c r="S88" i="2"/>
  <c r="R88" i="2"/>
  <c r="Q88" i="2"/>
  <c r="O88" i="2"/>
  <c r="M88" i="2"/>
  <c r="L88" i="2"/>
  <c r="K88" i="2"/>
  <c r="J88" i="2"/>
  <c r="I88" i="2"/>
  <c r="H88" i="2"/>
  <c r="Z87" i="2"/>
  <c r="N87" i="2"/>
  <c r="T87" i="2" s="1"/>
  <c r="Z86" i="2"/>
  <c r="P86" i="2"/>
  <c r="P88" i="2" s="1"/>
  <c r="N86" i="2"/>
  <c r="B87" i="2"/>
  <c r="Z85" i="2"/>
  <c r="N85" i="2"/>
  <c r="T85" i="2" s="1"/>
  <c r="AB81" i="2"/>
  <c r="Y81" i="2"/>
  <c r="X81" i="2"/>
  <c r="W81" i="2"/>
  <c r="V81" i="2"/>
  <c r="U81" i="2"/>
  <c r="S81" i="2"/>
  <c r="R81" i="2"/>
  <c r="Q81" i="2"/>
  <c r="O81" i="2"/>
  <c r="M81" i="2"/>
  <c r="L81" i="2"/>
  <c r="K81" i="2"/>
  <c r="J81" i="2"/>
  <c r="I81" i="2"/>
  <c r="H81" i="2"/>
  <c r="Z80" i="2"/>
  <c r="N80" i="2"/>
  <c r="T80" i="2" s="1"/>
  <c r="Z79" i="2"/>
  <c r="P79" i="2"/>
  <c r="P81" i="2" s="1"/>
  <c r="N79" i="2"/>
  <c r="B80" i="2"/>
  <c r="Z78" i="2"/>
  <c r="N78" i="2"/>
  <c r="T78" i="2" s="1"/>
  <c r="AB74" i="2"/>
  <c r="Y74" i="2"/>
  <c r="X74" i="2"/>
  <c r="W74" i="2"/>
  <c r="V74" i="2"/>
  <c r="U74" i="2"/>
  <c r="S74" i="2"/>
  <c r="R74" i="2"/>
  <c r="Q74" i="2"/>
  <c r="O74" i="2"/>
  <c r="M74" i="2"/>
  <c r="L74" i="2"/>
  <c r="K74" i="2"/>
  <c r="J74" i="2"/>
  <c r="I74" i="2"/>
  <c r="H74" i="2"/>
  <c r="Z72" i="2"/>
  <c r="N72" i="2"/>
  <c r="T72" i="2" s="1"/>
  <c r="Z71" i="2"/>
  <c r="P71" i="2"/>
  <c r="P74" i="2" s="1"/>
  <c r="N71" i="2"/>
  <c r="Z70" i="2"/>
  <c r="N70" i="2"/>
  <c r="T70" i="2" s="1"/>
  <c r="B70" i="2"/>
  <c r="B71" i="2" s="1"/>
  <c r="B72" i="2" s="1"/>
  <c r="Z69" i="2"/>
  <c r="N69" i="2"/>
  <c r="T69" i="2" s="1"/>
  <c r="AB65" i="2"/>
  <c r="Y65" i="2"/>
  <c r="X65" i="2"/>
  <c r="W65" i="2"/>
  <c r="V65" i="2"/>
  <c r="U65" i="2"/>
  <c r="S65" i="2"/>
  <c r="R65" i="2"/>
  <c r="Q65" i="2"/>
  <c r="O65" i="2"/>
  <c r="M65" i="2"/>
  <c r="L65" i="2"/>
  <c r="K65" i="2"/>
  <c r="J65" i="2"/>
  <c r="I65" i="2"/>
  <c r="H65" i="2"/>
  <c r="Z64" i="2"/>
  <c r="N64" i="2"/>
  <c r="T64" i="2" s="1"/>
  <c r="Z63" i="2"/>
  <c r="P63" i="2"/>
  <c r="P65" i="2" s="1"/>
  <c r="N63" i="2"/>
  <c r="Z62" i="2"/>
  <c r="N62" i="2"/>
  <c r="T62" i="2" s="1"/>
  <c r="B62" i="2"/>
  <c r="B63" i="2" s="1"/>
  <c r="B64" i="2" s="1"/>
  <c r="Z61" i="2"/>
  <c r="N61" i="2"/>
  <c r="T61" i="2" s="1"/>
  <c r="AB57" i="2"/>
  <c r="Y57" i="2"/>
  <c r="X57" i="2"/>
  <c r="W57" i="2"/>
  <c r="V57" i="2"/>
  <c r="U57" i="2"/>
  <c r="S57" i="2"/>
  <c r="R57" i="2"/>
  <c r="Q57" i="2"/>
  <c r="O57" i="2"/>
  <c r="M57" i="2"/>
  <c r="L57" i="2"/>
  <c r="K57" i="2"/>
  <c r="J57" i="2"/>
  <c r="I57" i="2"/>
  <c r="H57" i="2"/>
  <c r="Z56" i="2"/>
  <c r="N56" i="2"/>
  <c r="T56" i="2" s="1"/>
  <c r="Z55" i="2"/>
  <c r="P55" i="2"/>
  <c r="P57" i="2" s="1"/>
  <c r="N55" i="2"/>
  <c r="Z54" i="2"/>
  <c r="N54" i="2"/>
  <c r="T54" i="2" s="1"/>
  <c r="B54" i="2"/>
  <c r="B55" i="2" s="1"/>
  <c r="B56" i="2" s="1"/>
  <c r="Z53" i="2"/>
  <c r="N53" i="2"/>
  <c r="AB49" i="2"/>
  <c r="Y49" i="2"/>
  <c r="X49" i="2"/>
  <c r="W49" i="2"/>
  <c r="V49" i="2"/>
  <c r="U49" i="2"/>
  <c r="S49" i="2"/>
  <c r="R49" i="2"/>
  <c r="Q49" i="2"/>
  <c r="O49" i="2"/>
  <c r="M49" i="2"/>
  <c r="L49" i="2"/>
  <c r="K49" i="2"/>
  <c r="J49" i="2"/>
  <c r="I49" i="2"/>
  <c r="H49" i="2"/>
  <c r="Z48" i="2"/>
  <c r="N48" i="2"/>
  <c r="T48" i="2" s="1"/>
  <c r="Z47" i="2"/>
  <c r="P47" i="2"/>
  <c r="P49" i="2" s="1"/>
  <c r="N47" i="2"/>
  <c r="Z46" i="2"/>
  <c r="N46" i="2"/>
  <c r="T46" i="2" s="1"/>
  <c r="B46" i="2"/>
  <c r="B47" i="2" s="1"/>
  <c r="B48" i="2" s="1"/>
  <c r="Z45" i="2"/>
  <c r="N45" i="2"/>
  <c r="T45" i="2" s="1"/>
  <c r="AB41" i="2"/>
  <c r="Y41" i="2"/>
  <c r="X41" i="2"/>
  <c r="W41" i="2"/>
  <c r="V41" i="2"/>
  <c r="U41" i="2"/>
  <c r="S41" i="2"/>
  <c r="R41" i="2"/>
  <c r="Q41" i="2"/>
  <c r="O41" i="2"/>
  <c r="M41" i="2"/>
  <c r="L41" i="2"/>
  <c r="K41" i="2"/>
  <c r="J41" i="2"/>
  <c r="I41" i="2"/>
  <c r="H41" i="2"/>
  <c r="Z39" i="2"/>
  <c r="P39" i="2"/>
  <c r="P41" i="2" s="1"/>
  <c r="N39" i="2"/>
  <c r="Z38" i="2"/>
  <c r="N38" i="2"/>
  <c r="T38" i="2" s="1"/>
  <c r="B38" i="2"/>
  <c r="B39" i="2" s="1"/>
  <c r="Z37" i="2"/>
  <c r="N37" i="2"/>
  <c r="T37" i="2" s="1"/>
  <c r="AB33" i="2"/>
  <c r="Y33" i="2"/>
  <c r="X33" i="2"/>
  <c r="W33" i="2"/>
  <c r="V33" i="2"/>
  <c r="U33" i="2"/>
  <c r="S33" i="2"/>
  <c r="R33" i="2"/>
  <c r="Q33" i="2"/>
  <c r="O33" i="2"/>
  <c r="M33" i="2"/>
  <c r="L33" i="2"/>
  <c r="K33" i="2"/>
  <c r="J33" i="2"/>
  <c r="I33" i="2"/>
  <c r="H33" i="2"/>
  <c r="P33" i="2"/>
  <c r="Z31" i="2"/>
  <c r="N31" i="2"/>
  <c r="T31" i="2" s="1"/>
  <c r="B31" i="2"/>
  <c r="Z30" i="2"/>
  <c r="N30" i="2"/>
  <c r="T30" i="2" s="1"/>
  <c r="AB26" i="2"/>
  <c r="Y26" i="2"/>
  <c r="X26" i="2"/>
  <c r="W26" i="2"/>
  <c r="V26" i="2"/>
  <c r="U26" i="2"/>
  <c r="S26" i="2"/>
  <c r="R26" i="2"/>
  <c r="Q26" i="2"/>
  <c r="O26" i="2"/>
  <c r="M26" i="2"/>
  <c r="L26" i="2"/>
  <c r="K26" i="2"/>
  <c r="J26" i="2"/>
  <c r="I26" i="2"/>
  <c r="H26" i="2"/>
  <c r="Z24" i="2"/>
  <c r="P24" i="2"/>
  <c r="P26" i="2" s="1"/>
  <c r="N24" i="2"/>
  <c r="Z23" i="2"/>
  <c r="N23" i="2"/>
  <c r="T23" i="2" s="1"/>
  <c r="B23" i="2"/>
  <c r="B24" i="2" s="1"/>
  <c r="Z22" i="2"/>
  <c r="N22" i="2"/>
  <c r="T22" i="2" s="1"/>
  <c r="AB18" i="2"/>
  <c r="Y18" i="2"/>
  <c r="X18" i="2"/>
  <c r="W18" i="2"/>
  <c r="V18" i="2"/>
  <c r="U18" i="2"/>
  <c r="S18" i="2"/>
  <c r="R18" i="2"/>
  <c r="Q18" i="2"/>
  <c r="O18" i="2"/>
  <c r="M18" i="2"/>
  <c r="L18" i="2"/>
  <c r="K18" i="2"/>
  <c r="J18" i="2"/>
  <c r="I18" i="2"/>
  <c r="H18" i="2"/>
  <c r="Z16" i="2"/>
  <c r="P16" i="2"/>
  <c r="P18" i="2" s="1"/>
  <c r="N16" i="2"/>
  <c r="Z15" i="2"/>
  <c r="N15" i="2"/>
  <c r="T15" i="2" s="1"/>
  <c r="B15" i="2"/>
  <c r="B16" i="2" s="1"/>
  <c r="Z14" i="2"/>
  <c r="N14" i="2"/>
  <c r="T14" i="2" s="1"/>
  <c r="AB10" i="2"/>
  <c r="Y10" i="2"/>
  <c r="X10" i="2"/>
  <c r="W10" i="2"/>
  <c r="V10" i="2"/>
  <c r="U10" i="2"/>
  <c r="S10" i="2"/>
  <c r="R10" i="2"/>
  <c r="Q10" i="2"/>
  <c r="O10" i="2"/>
  <c r="M10" i="2"/>
  <c r="L10" i="2"/>
  <c r="K10" i="2"/>
  <c r="J10" i="2"/>
  <c r="I10" i="2"/>
  <c r="H10" i="2"/>
  <c r="Z8" i="2"/>
  <c r="P8" i="2"/>
  <c r="P10" i="2" s="1"/>
  <c r="N8" i="2"/>
  <c r="Z7" i="2"/>
  <c r="N7" i="2"/>
  <c r="T7" i="2" s="1"/>
  <c r="B7" i="2"/>
  <c r="B8" i="2" s="1"/>
  <c r="Z6" i="2"/>
  <c r="N6" i="2"/>
  <c r="T6" i="2" s="1"/>
  <c r="P155" i="3" l="1"/>
  <c r="Q155" i="3"/>
  <c r="Q181" i="3" s="1"/>
  <c r="P156" i="3"/>
  <c r="Q156" i="3"/>
  <c r="Q182" i="3" s="1"/>
  <c r="P152" i="3"/>
  <c r="Q152" i="3"/>
  <c r="P153" i="3"/>
  <c r="Q153" i="3"/>
  <c r="Q179" i="3" s="1"/>
  <c r="P157" i="3"/>
  <c r="Q157" i="3"/>
  <c r="Q183" i="3" s="1"/>
  <c r="P158" i="3"/>
  <c r="Q158" i="3"/>
  <c r="Q184" i="3" s="1"/>
  <c r="D13" i="4"/>
  <c r="G72" i="3" s="1"/>
  <c r="M72" i="3" s="1"/>
  <c r="C174" i="3"/>
  <c r="C176" i="3"/>
  <c r="C177" i="3"/>
  <c r="M154" i="3"/>
  <c r="D155" i="3"/>
  <c r="D156" i="3"/>
  <c r="D154" i="3"/>
  <c r="P154" i="3"/>
  <c r="P160" i="3" s="1"/>
  <c r="C175" i="3"/>
  <c r="D175" i="3" s="1"/>
  <c r="C173" i="3"/>
  <c r="B177" i="3"/>
  <c r="P177" i="3" s="1"/>
  <c r="B175" i="3"/>
  <c r="B173" i="3"/>
  <c r="P173" i="3" s="1"/>
  <c r="B184" i="3"/>
  <c r="P184" i="3" s="1"/>
  <c r="B182" i="3"/>
  <c r="P182" i="3" s="1"/>
  <c r="B176" i="3"/>
  <c r="P176" i="3" s="1"/>
  <c r="B174" i="3"/>
  <c r="D174" i="3" s="1"/>
  <c r="K160" i="3"/>
  <c r="D177" i="3"/>
  <c r="D176" i="3"/>
  <c r="P175" i="3"/>
  <c r="G173" i="3"/>
  <c r="M173" i="3" s="1"/>
  <c r="C179" i="3"/>
  <c r="C180" i="3"/>
  <c r="C181" i="3"/>
  <c r="G182" i="3"/>
  <c r="M182" i="3" s="1"/>
  <c r="B183" i="3"/>
  <c r="P183" i="3" s="1"/>
  <c r="B180" i="3"/>
  <c r="D180" i="3" s="1"/>
  <c r="G184" i="3"/>
  <c r="M184" i="3" s="1"/>
  <c r="L76" i="3"/>
  <c r="L118" i="3"/>
  <c r="N118" i="3"/>
  <c r="L160" i="3"/>
  <c r="N160" i="3"/>
  <c r="M152" i="3"/>
  <c r="D153" i="3"/>
  <c r="M156" i="3"/>
  <c r="D157" i="3"/>
  <c r="L165" i="3"/>
  <c r="G178" i="3"/>
  <c r="M178" i="3" s="1"/>
  <c r="C178" i="3"/>
  <c r="B160" i="3"/>
  <c r="B181" i="3"/>
  <c r="C182" i="3"/>
  <c r="D182" i="3" s="1"/>
  <c r="C183" i="3"/>
  <c r="C184" i="3"/>
  <c r="B178" i="3"/>
  <c r="P178" i="3" s="1"/>
  <c r="E184" i="3"/>
  <c r="K184" i="3" s="1"/>
  <c r="E178" i="3"/>
  <c r="K178" i="3" s="1"/>
  <c r="E176" i="3"/>
  <c r="K176" i="3" s="1"/>
  <c r="M155" i="3"/>
  <c r="G157" i="3"/>
  <c r="B179" i="3"/>
  <c r="G180" i="3"/>
  <c r="D152" i="3"/>
  <c r="D158" i="3"/>
  <c r="G64" i="3"/>
  <c r="D147" i="3"/>
  <c r="J72" i="3"/>
  <c r="AA56" i="2"/>
  <c r="AC56" i="2" s="1"/>
  <c r="M30" i="3"/>
  <c r="N34" i="3"/>
  <c r="M26" i="3"/>
  <c r="K180" i="3"/>
  <c r="K182" i="3"/>
  <c r="D68" i="3"/>
  <c r="J68" i="3" s="1"/>
  <c r="D111" i="3"/>
  <c r="J111" i="3" s="1"/>
  <c r="N186" i="3"/>
  <c r="L34" i="3"/>
  <c r="D24" i="3"/>
  <c r="J24" i="3" s="1"/>
  <c r="K26" i="3"/>
  <c r="P26" i="3"/>
  <c r="K30" i="3"/>
  <c r="P30" i="3"/>
  <c r="B76" i="3"/>
  <c r="P64" i="3"/>
  <c r="P68" i="3"/>
  <c r="P72" i="3"/>
  <c r="C118" i="3"/>
  <c r="P111" i="3"/>
  <c r="P174" i="3"/>
  <c r="K174" i="3"/>
  <c r="K22" i="3"/>
  <c r="M22" i="3"/>
  <c r="P22" i="3"/>
  <c r="K24" i="3"/>
  <c r="P179" i="3"/>
  <c r="K28" i="3"/>
  <c r="K32" i="3"/>
  <c r="N76" i="3"/>
  <c r="D107" i="3"/>
  <c r="J107" i="3" s="1"/>
  <c r="M118" i="3"/>
  <c r="P107" i="3"/>
  <c r="D115" i="3"/>
  <c r="J115" i="3" s="1"/>
  <c r="P115" i="3"/>
  <c r="F186" i="3"/>
  <c r="AA23" i="2"/>
  <c r="AC23" i="2" s="1"/>
  <c r="AA38" i="2"/>
  <c r="AC38" i="2" s="1"/>
  <c r="AA7" i="2"/>
  <c r="AC7" i="2" s="1"/>
  <c r="AA15" i="2"/>
  <c r="AC15" i="2" s="1"/>
  <c r="AA45" i="2"/>
  <c r="AC45" i="2" s="1"/>
  <c r="AA48" i="2"/>
  <c r="AC48" i="2" s="1"/>
  <c r="AA62" i="2"/>
  <c r="AC62" i="2" s="1"/>
  <c r="AA30" i="2"/>
  <c r="AC30" i="2" s="1"/>
  <c r="AA72" i="2"/>
  <c r="AC72" i="2" s="1"/>
  <c r="AA87" i="2"/>
  <c r="AC87" i="2" s="1"/>
  <c r="AA94" i="2"/>
  <c r="AC94" i="2" s="1"/>
  <c r="Z33" i="2"/>
  <c r="AA31" i="2"/>
  <c r="AC31" i="2" s="1"/>
  <c r="Z49" i="2"/>
  <c r="AA46" i="2"/>
  <c r="AC46" i="2" s="1"/>
  <c r="T47" i="2"/>
  <c r="AA47" i="2" s="1"/>
  <c r="AC47" i="2" s="1"/>
  <c r="Z57" i="2"/>
  <c r="AA54" i="2"/>
  <c r="AC54" i="2" s="1"/>
  <c r="T55" i="2"/>
  <c r="AA55" i="2" s="1"/>
  <c r="AC55" i="2" s="1"/>
  <c r="Z74" i="2"/>
  <c r="N74" i="2"/>
  <c r="T86" i="2"/>
  <c r="AA86" i="2" s="1"/>
  <c r="AC86" i="2" s="1"/>
  <c r="T93" i="2"/>
  <c r="AA93" i="2" s="1"/>
  <c r="AC93" i="2" s="1"/>
  <c r="K177" i="3"/>
  <c r="K25" i="3"/>
  <c r="D28" i="3"/>
  <c r="K181" i="3"/>
  <c r="K29" i="3"/>
  <c r="C34" i="3"/>
  <c r="D22" i="3"/>
  <c r="K175" i="3"/>
  <c r="K23" i="3"/>
  <c r="M24" i="3"/>
  <c r="P24" i="3"/>
  <c r="D26" i="3"/>
  <c r="K179" i="3"/>
  <c r="K27" i="3"/>
  <c r="M28" i="3"/>
  <c r="P28" i="3"/>
  <c r="D30" i="3"/>
  <c r="K183" i="3"/>
  <c r="K31" i="3"/>
  <c r="C86" i="3"/>
  <c r="C128" i="3" s="1"/>
  <c r="B139" i="3" s="1"/>
  <c r="B55" i="3"/>
  <c r="E76" i="3"/>
  <c r="K63" i="3"/>
  <c r="K76" i="3" s="1"/>
  <c r="D66" i="3"/>
  <c r="J66" i="3" s="1"/>
  <c r="D70" i="3"/>
  <c r="J70" i="3" s="1"/>
  <c r="J74" i="3"/>
  <c r="K118" i="3"/>
  <c r="D109" i="3"/>
  <c r="J109" i="3" s="1"/>
  <c r="E34" i="3"/>
  <c r="K21" i="3"/>
  <c r="B34" i="3"/>
  <c r="B118" i="3"/>
  <c r="P105" i="3"/>
  <c r="D105" i="3"/>
  <c r="D113" i="3"/>
  <c r="J113" i="3" s="1"/>
  <c r="D32" i="3"/>
  <c r="C76" i="3"/>
  <c r="D64" i="3"/>
  <c r="J64" i="3" s="1"/>
  <c r="D21" i="3"/>
  <c r="M21" i="3"/>
  <c r="P21" i="3"/>
  <c r="D23" i="3"/>
  <c r="M23" i="3"/>
  <c r="P23" i="3"/>
  <c r="D25" i="3"/>
  <c r="M25" i="3"/>
  <c r="P25" i="3"/>
  <c r="D27" i="3"/>
  <c r="M27" i="3"/>
  <c r="P27" i="3"/>
  <c r="D29" i="3"/>
  <c r="M29" i="3"/>
  <c r="P29" i="3"/>
  <c r="D31" i="3"/>
  <c r="M31" i="3"/>
  <c r="P31" i="3"/>
  <c r="G34" i="3"/>
  <c r="D63" i="3"/>
  <c r="M63" i="3"/>
  <c r="D65" i="3"/>
  <c r="J65" i="3" s="1"/>
  <c r="D67" i="3"/>
  <c r="J67" i="3" s="1"/>
  <c r="D69" i="3"/>
  <c r="J69" i="3" s="1"/>
  <c r="D71" i="3"/>
  <c r="J71" i="3" s="1"/>
  <c r="J73" i="3"/>
  <c r="D106" i="3"/>
  <c r="J106" i="3" s="1"/>
  <c r="J108" i="3"/>
  <c r="D110" i="3"/>
  <c r="J110" i="3" s="1"/>
  <c r="D112" i="3"/>
  <c r="J112" i="3" s="1"/>
  <c r="D114" i="3"/>
  <c r="J114" i="3" s="1"/>
  <c r="D116" i="3"/>
  <c r="J116" i="3" s="1"/>
  <c r="AA6" i="2"/>
  <c r="AA14" i="2"/>
  <c r="AA22" i="2"/>
  <c r="AA37" i="2"/>
  <c r="T53" i="2"/>
  <c r="N57" i="2"/>
  <c r="AA61" i="2"/>
  <c r="T71" i="2"/>
  <c r="N10" i="2"/>
  <c r="Z10" i="2"/>
  <c r="T8" i="2"/>
  <c r="AA8" i="2" s="1"/>
  <c r="AC8" i="2" s="1"/>
  <c r="N18" i="2"/>
  <c r="Z18" i="2"/>
  <c r="T16" i="2"/>
  <c r="AA16" i="2" s="1"/>
  <c r="AC16" i="2" s="1"/>
  <c r="N26" i="2"/>
  <c r="Z26" i="2"/>
  <c r="T24" i="2"/>
  <c r="AA24" i="2" s="1"/>
  <c r="AC24" i="2" s="1"/>
  <c r="N33" i="2"/>
  <c r="N41" i="2"/>
  <c r="Z41" i="2"/>
  <c r="T39" i="2"/>
  <c r="AA39" i="2" s="1"/>
  <c r="AC39" i="2" s="1"/>
  <c r="N49" i="2"/>
  <c r="AA78" i="2"/>
  <c r="N65" i="2"/>
  <c r="Z65" i="2"/>
  <c r="T63" i="2"/>
  <c r="AA63" i="2" s="1"/>
  <c r="AC63" i="2" s="1"/>
  <c r="AA64" i="2"/>
  <c r="AC64" i="2" s="1"/>
  <c r="AA69" i="2"/>
  <c r="AA70" i="2"/>
  <c r="AC70" i="2" s="1"/>
  <c r="N81" i="2"/>
  <c r="Z81" i="2"/>
  <c r="T79" i="2"/>
  <c r="AA79" i="2" s="1"/>
  <c r="AC79" i="2" s="1"/>
  <c r="AA80" i="2"/>
  <c r="AC80" i="2" s="1"/>
  <c r="AA85" i="2"/>
  <c r="Z95" i="2"/>
  <c r="N88" i="2"/>
  <c r="Z88" i="2"/>
  <c r="AA92" i="2"/>
  <c r="N95" i="2"/>
  <c r="J158" i="3" l="1"/>
  <c r="BI26" i="1"/>
  <c r="BH32" i="1" s="1"/>
  <c r="J157" i="3"/>
  <c r="BG26" i="1"/>
  <c r="BF32" i="1" s="1"/>
  <c r="J153" i="3"/>
  <c r="AY26" i="1"/>
  <c r="AX32" i="1" s="1"/>
  <c r="J156" i="3"/>
  <c r="BE26" i="1"/>
  <c r="BD32" i="1" s="1"/>
  <c r="P180" i="3"/>
  <c r="J152" i="3"/>
  <c r="AW26" i="1"/>
  <c r="AV32" i="1" s="1"/>
  <c r="J154" i="3"/>
  <c r="BA26" i="1"/>
  <c r="AZ32" i="1" s="1"/>
  <c r="J155" i="3"/>
  <c r="BC26" i="1"/>
  <c r="BB32" i="1" s="1"/>
  <c r="Q178" i="3"/>
  <c r="Q186" i="3" s="1"/>
  <c r="Q160" i="3"/>
  <c r="D183" i="3"/>
  <c r="J183" i="3" s="1"/>
  <c r="D181" i="3"/>
  <c r="D173" i="3"/>
  <c r="P181" i="3"/>
  <c r="D179" i="3"/>
  <c r="J179" i="3" s="1"/>
  <c r="D178" i="3"/>
  <c r="D184" i="3"/>
  <c r="G65" i="3"/>
  <c r="M64" i="3"/>
  <c r="G174" i="3"/>
  <c r="M174" i="3" s="1"/>
  <c r="G183" i="3"/>
  <c r="M183" i="3" s="1"/>
  <c r="M157" i="3"/>
  <c r="M160" i="3" s="1"/>
  <c r="P26" i="1" s="1"/>
  <c r="G160" i="3"/>
  <c r="G69" i="3"/>
  <c r="G179" i="3" s="1"/>
  <c r="M68" i="3"/>
  <c r="D160" i="3"/>
  <c r="J147" i="3"/>
  <c r="J160" i="3" s="1"/>
  <c r="G26" i="1" s="1"/>
  <c r="P76" i="3"/>
  <c r="T88" i="2"/>
  <c r="P118" i="3"/>
  <c r="K34" i="3"/>
  <c r="J23" i="1" s="1"/>
  <c r="T49" i="2"/>
  <c r="AC49" i="2"/>
  <c r="T95" i="2"/>
  <c r="T33" i="2"/>
  <c r="AC33" i="2"/>
  <c r="AA49" i="2"/>
  <c r="AA33" i="2"/>
  <c r="T18" i="2"/>
  <c r="J175" i="3"/>
  <c r="J23" i="3"/>
  <c r="M34" i="3"/>
  <c r="P23" i="1" s="1"/>
  <c r="P186" i="3"/>
  <c r="AI32" i="1" s="1"/>
  <c r="B186" i="3"/>
  <c r="J184" i="3"/>
  <c r="J32" i="3"/>
  <c r="D118" i="3"/>
  <c r="J105" i="3"/>
  <c r="J118" i="3" s="1"/>
  <c r="G25" i="1" s="1"/>
  <c r="E186" i="3"/>
  <c r="X99" i="2" s="1"/>
  <c r="K173" i="3"/>
  <c r="K186" i="3" s="1"/>
  <c r="B97" i="3"/>
  <c r="J178" i="3"/>
  <c r="J26" i="3"/>
  <c r="J180" i="3"/>
  <c r="J28" i="3"/>
  <c r="D76" i="3"/>
  <c r="J63" i="3"/>
  <c r="J76" i="3" s="1"/>
  <c r="G24" i="1" s="1"/>
  <c r="J31" i="3"/>
  <c r="J181" i="3"/>
  <c r="J29" i="3"/>
  <c r="J27" i="3"/>
  <c r="J177" i="3"/>
  <c r="J25" i="3"/>
  <c r="P34" i="3"/>
  <c r="P78" i="3" s="1"/>
  <c r="D34" i="3"/>
  <c r="J21" i="3"/>
  <c r="J176" i="3"/>
  <c r="J182" i="3"/>
  <c r="J30" i="3"/>
  <c r="J174" i="3"/>
  <c r="J22" i="3"/>
  <c r="C186" i="3"/>
  <c r="AA95" i="2"/>
  <c r="AC92" i="2"/>
  <c r="AC95" i="2" s="1"/>
  <c r="AA88" i="2"/>
  <c r="AC85" i="2"/>
  <c r="AC88" i="2" s="1"/>
  <c r="AA81" i="2"/>
  <c r="AC78" i="2"/>
  <c r="AC81" i="2" s="1"/>
  <c r="T74" i="2"/>
  <c r="AA71" i="2"/>
  <c r="AC71" i="2" s="1"/>
  <c r="T65" i="2"/>
  <c r="AA53" i="2"/>
  <c r="T57" i="2"/>
  <c r="T41" i="2"/>
  <c r="AC22" i="2"/>
  <c r="AC26" i="2" s="1"/>
  <c r="AA26" i="2"/>
  <c r="AC6" i="2"/>
  <c r="AC10" i="2" s="1"/>
  <c r="AA10" i="2"/>
  <c r="AC69" i="2"/>
  <c r="T81" i="2"/>
  <c r="AC61" i="2"/>
  <c r="AC65" i="2" s="1"/>
  <c r="AA65" i="2"/>
  <c r="AC37" i="2"/>
  <c r="AC41" i="2" s="1"/>
  <c r="AA41" i="2"/>
  <c r="T26" i="2"/>
  <c r="AC14" i="2"/>
  <c r="AC18" i="2" s="1"/>
  <c r="AA18" i="2"/>
  <c r="T10" i="2"/>
  <c r="R105" i="2" l="1"/>
  <c r="N99" i="2"/>
  <c r="G175" i="3"/>
  <c r="M65" i="3"/>
  <c r="G66" i="3"/>
  <c r="M69" i="3"/>
  <c r="M179" i="3"/>
  <c r="P120" i="3"/>
  <c r="AA74" i="2"/>
  <c r="AC74" i="2"/>
  <c r="J34" i="3"/>
  <c r="G23" i="1" s="1"/>
  <c r="D186" i="3"/>
  <c r="C32" i="1" s="1"/>
  <c r="J173" i="3"/>
  <c r="J186" i="3" s="1"/>
  <c r="C40" i="1" s="1"/>
  <c r="AA57" i="2"/>
  <c r="AC53" i="2"/>
  <c r="AC57" i="2" s="1"/>
  <c r="F52" i="5" l="1"/>
  <c r="E52" i="5"/>
  <c r="E38" i="5"/>
  <c r="C81" i="5"/>
  <c r="C83" i="5" s="1"/>
  <c r="D81" i="5"/>
  <c r="D83" i="5" s="1"/>
  <c r="F38" i="5"/>
  <c r="E53" i="5"/>
  <c r="F53" i="5"/>
  <c r="M66" i="3"/>
  <c r="G176" i="3"/>
  <c r="M176" i="3" s="1"/>
  <c r="M175" i="3"/>
  <c r="G71" i="3"/>
  <c r="G181" i="3" s="1"/>
  <c r="M70" i="3"/>
  <c r="M180" i="3"/>
  <c r="J53" i="5" l="1"/>
  <c r="D84" i="5"/>
  <c r="I52" i="5"/>
  <c r="H38" i="5"/>
  <c r="F81" i="5"/>
  <c r="F83" i="5" s="1"/>
  <c r="I53" i="5"/>
  <c r="G38" i="5"/>
  <c r="G81" i="5" s="1"/>
  <c r="E81" i="5"/>
  <c r="E83" i="5" s="1"/>
  <c r="J52" i="5"/>
  <c r="G76" i="3"/>
  <c r="G177" i="3"/>
  <c r="M67" i="3"/>
  <c r="M71" i="3"/>
  <c r="M181" i="3"/>
  <c r="H81" i="5" l="1"/>
  <c r="H82" i="5" s="1"/>
  <c r="H83" i="5" s="1"/>
  <c r="E35" i="6"/>
  <c r="I81" i="5"/>
  <c r="J81" i="5"/>
  <c r="J83" i="5" s="1"/>
  <c r="G83" i="5"/>
  <c r="M76" i="3"/>
  <c r="P24" i="1" s="1"/>
  <c r="M177" i="3"/>
  <c r="G186" i="3"/>
  <c r="V32" i="1" s="1"/>
  <c r="M186" i="3"/>
  <c r="N40" i="1" s="1"/>
  <c r="T26" i="7" l="1"/>
  <c r="E66" i="6"/>
  <c r="G35" i="6"/>
  <c r="I82" i="5"/>
  <c r="I83" i="5" s="1"/>
  <c r="G66" i="6" l="1"/>
  <c r="G69" i="6" s="1"/>
  <c r="G73" i="6" s="1"/>
  <c r="L19" i="7"/>
  <c r="T24" i="7" l="1"/>
  <c r="T25" i="7" s="1"/>
  <c r="T27" i="7" s="1"/>
  <c r="L37" i="7"/>
  <c r="L39" i="7" s="1"/>
  <c r="L42" i="7" s="1"/>
</calcChain>
</file>

<file path=xl/sharedStrings.xml><?xml version="1.0" encoding="utf-8"?>
<sst xmlns="http://schemas.openxmlformats.org/spreadsheetml/2006/main" count="1593" uniqueCount="390">
  <si>
    <t>F1887</t>
  </si>
  <si>
    <t>FOLIO</t>
  </si>
  <si>
    <t>Sección A: IDENTIFICACIÓN DEL DECLARANTE (Institución, Organismo o Persona que efectuó la retención)</t>
  </si>
  <si>
    <t>ROL ÚNICO TRIBUTARIO C1</t>
  </si>
  <si>
    <t>NOMBRE O RAZÓN SOCIAL</t>
  </si>
  <si>
    <t>DOMICILIO POSTAL</t>
  </si>
  <si>
    <t>COMUNA</t>
  </si>
  <si>
    <t>CORREO ELECTRÓNICO</t>
  </si>
  <si>
    <t>TELÉFONO</t>
  </si>
  <si>
    <t>¿EN QUÉ AÑO SE ACOGERÁ A LAS 40 HORAS?</t>
  </si>
  <si>
    <t>Sección B: DATOS DE LOS INFORMADOS (Receptor de la Renta: Sueldos, Sobresueldos, Salarios y Rentas similares)</t>
  </si>
  <si>
    <t>Nº</t>
  </si>
  <si>
    <t>MONTOS ANUALES ACTUALIZADOS</t>
  </si>
  <si>
    <t>PERIODO AL CUAL CORRESPONDEN LAS RENTAS</t>
  </si>
  <si>
    <t>NÚMERO CERTIFICADO</t>
  </si>
  <si>
    <t>MONTO INGRESO MENSUAL (SIN ACTUALIZAR)</t>
  </si>
  <si>
    <t>HORAS SEMANALES PACTADAS</t>
  </si>
  <si>
    <t>RENTA TOTAL NETA PAGADA (art.42 N° 1 LIR)</t>
  </si>
  <si>
    <t>IMPUESTO ÚNICO DE SEGUNDA CATEGORÍA RETENIDO</t>
  </si>
  <si>
    <t>MAYOR RETENCIÓN SOLICITADA (art. 88 LIR)</t>
  </si>
  <si>
    <t xml:space="preserve">RENTA TOTAL NO GRAVADA </t>
  </si>
  <si>
    <t>RENTA TOTAL EXENTA</t>
  </si>
  <si>
    <t>REBAJA POR ZONAS EXTREMAS (FRANQUICIA D.L. 889)</t>
  </si>
  <si>
    <t>3% PRÉSTAMOS TASA 0% AÑO 2020-2021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</si>
  <si>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</si>
  <si>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</si>
  <si>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</si>
  <si>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</si>
  <si>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</si>
  <si>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</si>
  <si>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</si>
  <si>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</si>
  <si>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</si>
  <si>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</si>
  <si>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</si>
  <si>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</si>
  <si>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</si>
  <si>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</si>
  <si>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</si>
  <si>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</si>
  <si>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</si>
  <si>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</si>
  <si>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</si>
  <si>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</si>
  <si>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</si>
  <si>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</si>
  <si>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</si>
  <si>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</si>
  <si>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C0</t>
  </si>
  <si>
    <t>TOTAL MONTOS ANUALES SIN ACTUALIZAR</t>
  </si>
  <si>
    <t>TOTAL REMUNERACIÓN IMPONIBLE PARA EFECTOS PREVISIONALES ACTUALIZADA A TODOS LOS TRABAJADORES</t>
  </si>
  <si>
    <t>TOTAL MONTO INGRESO MENSUAL (SIN ACTUALIZAR)</t>
  </si>
  <si>
    <t>RENTA TOTAL NETA PAGADA (art.42 N°1 LIR)</t>
  </si>
  <si>
    <t>IMPUESTO ÚNICO DE SEGUNDA CATEGORÍA RETENIDO POR RENTA TOTAL NETA PAGADA DURANTE EL AÑO</t>
  </si>
  <si>
    <t>IMPUESTO ÚNICO DE SEGUNDA CATEGORÍA RETENIDO POR RENTAS ACCESORIAS Y/O COMPLEMENTARIA PAGADA ENTRE ENE-ABR. AÑO SGTE.</t>
  </si>
  <si>
    <t>RENTA TOTAL NO GRAVADA</t>
  </si>
  <si>
    <t>REBAJA POR ZONAS EXTREMAS (FRANQUICIA D.L.889)</t>
  </si>
  <si>
    <t>LEYES SOCIALES</t>
  </si>
  <si>
    <t>TOTAL MONTOS ANUALES ACTUALIZADOS</t>
  </si>
  <si>
    <t>TOTAL DE CASOS INFORMADOS</t>
  </si>
  <si>
    <t>RENTA TOTAL NETA PAGADA (art. 42 N°1 LIR)</t>
  </si>
  <si>
    <t>IMPUESTO ÚNICO RETENIDO</t>
  </si>
  <si>
    <t>DECLARO BAJO JURAMENTO QUE LOS DATOS CONTENIDOS EN EL PRESENTE DOCUMENTO SON LA EXPRESION FIEL DE LA VERDAD, POR LO QUE ASUMO LA RESPONSABILIDAD CORRESPONDIENTE</t>
  </si>
  <si>
    <t>RUT REPRESENTANTE LEGAL</t>
  </si>
  <si>
    <t>Declaración Jurada Anual sobre rentas del artículo 42 Nº 1 de la Ley sobre Impuesto a la Renta, otros componentes de la remuneración y retenciones del Impuesto Único de Segunda Categoría</t>
  </si>
  <si>
    <t>RUT DE LA PERSONA A QUIÉN SE LE PAGO LA RENTA (Trabajador)</t>
  </si>
  <si>
    <t>CUADRO RESUMEN FINAL DE LA DECLARACIÓN</t>
  </si>
  <si>
    <t>Nro.</t>
  </si>
  <si>
    <t>RUT</t>
  </si>
  <si>
    <t>PATERNO MATERNO NOMBRES</t>
  </si>
  <si>
    <t>DIA</t>
  </si>
  <si>
    <t>SUELDO</t>
  </si>
  <si>
    <t>GRATIFI-</t>
  </si>
  <si>
    <t xml:space="preserve">DOMINGOS RECARGADOS </t>
  </si>
  <si>
    <t>HRS.</t>
  </si>
  <si>
    <t xml:space="preserve"> MONTO</t>
  </si>
  <si>
    <t>OTROS</t>
  </si>
  <si>
    <t xml:space="preserve">    Nro.</t>
  </si>
  <si>
    <t>VALOR</t>
  </si>
  <si>
    <t>MOVILI-</t>
  </si>
  <si>
    <t>COLA-</t>
  </si>
  <si>
    <t>OTROS NO</t>
  </si>
  <si>
    <t>TOTAL</t>
  </si>
  <si>
    <t>COTIZ.</t>
  </si>
  <si>
    <t xml:space="preserve">SEGURO </t>
  </si>
  <si>
    <t>IMPTO.</t>
  </si>
  <si>
    <t>ALCANCE</t>
  </si>
  <si>
    <t>ANTI-</t>
  </si>
  <si>
    <t>SALDO</t>
  </si>
  <si>
    <t>================================================================================================================================================================</t>
  </si>
  <si>
    <t>TRA</t>
  </si>
  <si>
    <t xml:space="preserve">    BASE</t>
  </si>
  <si>
    <t>CACION</t>
  </si>
  <si>
    <t>EXT.</t>
  </si>
  <si>
    <t>HRS.EXT.</t>
  </si>
  <si>
    <t>IMPONIB.</t>
  </si>
  <si>
    <t>CARGA</t>
  </si>
  <si>
    <t>ZACION</t>
  </si>
  <si>
    <t xml:space="preserve">  CION</t>
  </si>
  <si>
    <t>HABERES</t>
  </si>
  <si>
    <t>PREVI.</t>
  </si>
  <si>
    <t>SALUD</t>
  </si>
  <si>
    <t>CESANTIA</t>
  </si>
  <si>
    <t>UNICO</t>
  </si>
  <si>
    <t>DSCTOS.</t>
  </si>
  <si>
    <t>LIQUIDO</t>
  </si>
  <si>
    <t>CIPOS</t>
  </si>
  <si>
    <t>0</t>
  </si>
  <si>
    <t xml:space="preserve">TOTALES </t>
  </si>
  <si>
    <t>LIBRO JULIO 2022</t>
  </si>
  <si>
    <t xml:space="preserve">NOMBRE O RAZON : </t>
  </si>
  <si>
    <t xml:space="preserve">R.U T.  Nº            :  </t>
  </si>
  <si>
    <t xml:space="preserve">DIRECCION             : </t>
  </si>
  <si>
    <t xml:space="preserve">GIRO O ACTIVIDAD      :  </t>
  </si>
  <si>
    <t xml:space="preserve">CERTIFICADO Nº </t>
  </si>
  <si>
    <t xml:space="preserve">Olmué </t>
  </si>
  <si>
    <t xml:space="preserve">                                                     CERTIFICADO SOBRE SUELDOS Y OTRAS RENTAS SIMILARES</t>
  </si>
  <si>
    <t xml:space="preserve">El Empleador </t>
  </si>
  <si>
    <t xml:space="preserve">                      certifica que al Sr.</t>
  </si>
  <si>
    <t xml:space="preserve">R.U.T.  Nº                          </t>
  </si>
  <si>
    <t>que se señalan:</t>
  </si>
  <si>
    <t xml:space="preserve">     MONTOS ACTUALIZADOS</t>
  </si>
  <si>
    <t>PERIODO</t>
  </si>
  <si>
    <t>COTIZAC.</t>
  </si>
  <si>
    <t>RENTA</t>
  </si>
  <si>
    <t>IMPUESTO</t>
  </si>
  <si>
    <t>FACTOR</t>
  </si>
  <si>
    <t xml:space="preserve">IMPUESTO </t>
  </si>
  <si>
    <t>IMPTO</t>
  </si>
  <si>
    <t>BRUTO</t>
  </si>
  <si>
    <t>PREVIS.</t>
  </si>
  <si>
    <t>IMPONIBLE</t>
  </si>
  <si>
    <t>EXENTA</t>
  </si>
  <si>
    <t>ACOGIDA</t>
  </si>
  <si>
    <t>ACTUALIZ.</t>
  </si>
  <si>
    <t>RETENIDO</t>
  </si>
  <si>
    <t>ADICIONAL</t>
  </si>
  <si>
    <t>Y/O NO</t>
  </si>
  <si>
    <t>EXENCION</t>
  </si>
  <si>
    <t>ACTUALIZADO</t>
  </si>
  <si>
    <t>GRAVADA</t>
  </si>
  <si>
    <t>ART 13</t>
  </si>
  <si>
    <t>TOTALES</t>
  </si>
  <si>
    <t>Se extiende el presente Certificado en cumplimiento de lo dispuesto en la Resolución Exenta</t>
  </si>
  <si>
    <t xml:space="preserve">Nº 6509 del Servicio de Impuestos Internos, publicada en Diario Oficial de fecha 20 de Diciembre de 1993, </t>
  </si>
  <si>
    <t>y sus modificaciones posteriores.</t>
  </si>
  <si>
    <t>Representante Legal</t>
  </si>
  <si>
    <t>LIBRO REMUNERACIONES 2023</t>
  </si>
  <si>
    <t xml:space="preserve">LIBRO ENERO </t>
  </si>
  <si>
    <t>LIBRO FEBRERO</t>
  </si>
  <si>
    <t>LIBRO MARZO</t>
  </si>
  <si>
    <t xml:space="preserve">LIBRO ABRIL </t>
  </si>
  <si>
    <t>HERMANOS ROJAS LTDA</t>
  </si>
  <si>
    <t>76.999-666-9</t>
  </si>
  <si>
    <t xml:space="preserve">LOS LAGOS 444 , VALDIVIA, </t>
  </si>
  <si>
    <t>RESIDENCIAL</t>
  </si>
  <si>
    <t>23 DE MARZO 2024</t>
  </si>
  <si>
    <t xml:space="preserve">JUAN ROJAS </t>
  </si>
  <si>
    <t>8.888.888-8</t>
  </si>
  <si>
    <t>ANTECEDENTES</t>
  </si>
  <si>
    <t>LA EMPRESA HERMANOS ROJAS LTDA, DE VALDIVIA, CON GIRO RESIDENCIAL , TIENE 3 EMPLEADOS</t>
  </si>
  <si>
    <t>13.690.218-4</t>
  </si>
  <si>
    <t>10.668.874-3</t>
  </si>
  <si>
    <t>18.510.112-4</t>
  </si>
  <si>
    <t>MARIA ANTONIETA DELGADO PEREZ</t>
  </si>
  <si>
    <t xml:space="preserve">LIBRO MAYO </t>
  </si>
  <si>
    <t>LIBRO JUNIO</t>
  </si>
  <si>
    <t>LIBRO AGOSTO</t>
  </si>
  <si>
    <t>16.756.222-7</t>
  </si>
  <si>
    <t>DANIELA MARIANA OLGUIN ORDENES</t>
  </si>
  <si>
    <t>JASMIN  PRISCILA GONZALEZ GONZALEZ</t>
  </si>
  <si>
    <t>JORGE PABLO MARCHANT SOLARI</t>
  </si>
  <si>
    <t>EL FINIQUITO DE MARIA DELGADO INDICABA</t>
  </si>
  <si>
    <t>IAS</t>
  </si>
  <si>
    <t xml:space="preserve">VAC </t>
  </si>
  <si>
    <t xml:space="preserve">             en su calidad de empleado dependiente, durante el año  2023, se le han pagado las rentas que se indican y sobre las cuales se le practicaron las retenciones </t>
  </si>
  <si>
    <t>LIBRO DICIEMBRE</t>
  </si>
  <si>
    <t>LIBRO NOVIEMBRE</t>
  </si>
  <si>
    <t>LIBRO OCTUBRE</t>
  </si>
  <si>
    <t>LIBRO SEPTIEMBRE</t>
  </si>
  <si>
    <t>C</t>
  </si>
  <si>
    <t>APORTE</t>
  </si>
  <si>
    <t>EMPLEADOR</t>
  </si>
  <si>
    <t>SIN</t>
  </si>
  <si>
    <t>ACTUALIZAR</t>
  </si>
  <si>
    <t>INGRESO EN JUNIO CONTRATO A PLAZO FIJO POR 3 MESES</t>
  </si>
  <si>
    <t>TRABAJO TODO EL AÑO CONTRATO INDEFINIDO</t>
  </si>
  <si>
    <t>FUE DESPEDIDA EN SEPTIEMBRE Y TENIA CONTRATO INDEFINIDO</t>
  </si>
  <si>
    <t>CON LICENCIA EN ABRIL  Y TENIA CONTRATO INDEFINIDO</t>
  </si>
  <si>
    <t>%</t>
  </si>
  <si>
    <t>BALANCE GENERAL DEL 1 de Enero al 31 de Diciembre de 2023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</si>
  <si>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</si>
  <si>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</si>
  <si>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</si>
  <si>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</si>
  <si>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</si>
  <si>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</si>
  <si>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</si>
  <si>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</si>
  <si>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</si>
  <si>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</si>
  <si>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11001</t>
  </si>
  <si>
    <t xml:space="preserve">CAJA </t>
  </si>
  <si>
    <t>11002</t>
  </si>
  <si>
    <t>BANCOS</t>
  </si>
  <si>
    <t>FONDOS MUTUOS</t>
  </si>
  <si>
    <t>DEPÓSITOS A PLAZO</t>
  </si>
  <si>
    <t xml:space="preserve">DEUDORES POR VENTAS </t>
  </si>
  <si>
    <t>ESTIMACIÓN DEUDORES INCOBRABLES</t>
  </si>
  <si>
    <t>EXISTENCIAS</t>
  </si>
  <si>
    <t>ARRIENDO ANTICIPADOS</t>
  </si>
  <si>
    <t>PPMO</t>
  </si>
  <si>
    <t>IVA CRÉDITO FISCAL</t>
  </si>
  <si>
    <t>IMPUESTO ESPECÍFICO DIESEL</t>
  </si>
  <si>
    <t>ACCIONES EN YYY SAC</t>
  </si>
  <si>
    <t>15001</t>
  </si>
  <si>
    <t>TERRENOS</t>
  </si>
  <si>
    <t>15002</t>
  </si>
  <si>
    <t>DERECHOS DE AGUAS</t>
  </si>
  <si>
    <t>EQUIPOS DE PRODUCCIÓN</t>
  </si>
  <si>
    <t>EQUIPOS COMPUTACIONALES</t>
  </si>
  <si>
    <t>MUEBLES Y UTILES</t>
  </si>
  <si>
    <t>VEHÍCULOS</t>
  </si>
  <si>
    <t>EDIFICIO  EN LEASING</t>
  </si>
  <si>
    <t>MAQUINARIAS EN LEASING</t>
  </si>
  <si>
    <t>DEPRECIACIONES ACUMULADAS</t>
  </si>
  <si>
    <t>DEPRECIACIONES ACUMULADAS EN LEASING</t>
  </si>
  <si>
    <t xml:space="preserve">ACTIVO INTANGIBLE POR GOODWILL </t>
  </si>
  <si>
    <t>PRESTAMOS BANCARIOS</t>
  </si>
  <si>
    <t>OBLIGACIONES POR LEASING</t>
  </si>
  <si>
    <t>IVA DÉBITO FISCAL</t>
  </si>
  <si>
    <t>21001</t>
  </si>
  <si>
    <t>PROVEEDORES</t>
  </si>
  <si>
    <t>ACREEDORES VARIOS</t>
  </si>
  <si>
    <t>REMUNERACIONES POR PAGAR</t>
  </si>
  <si>
    <t>IMPOSICIONES POR PAGAR</t>
  </si>
  <si>
    <t>ANTICIPO DE VENTAS</t>
  </si>
  <si>
    <t>PROVISIÓN IMPUESTO A LA RENTA</t>
  </si>
  <si>
    <t>PROVISIÓN DE INSUMOS  GENERALES</t>
  </si>
  <si>
    <t>PROVISIÓN PPMO</t>
  </si>
  <si>
    <t>PROVISIÓN VACACIONES</t>
  </si>
  <si>
    <t>IMPUESTO DIFERIDO</t>
  </si>
  <si>
    <t>CAPITAL SOCIAL</t>
  </si>
  <si>
    <t xml:space="preserve">RESERVA IFRS 1 ADOPCIÓN </t>
  </si>
  <si>
    <t>UTILIDAD DEL EJERCICIO</t>
  </si>
  <si>
    <t>UTILIDADES ACUMULADAS</t>
  </si>
  <si>
    <t>COSTO VENTA</t>
  </si>
  <si>
    <t>REMUNERACIONES</t>
  </si>
  <si>
    <t>APORTE EMPRESA</t>
  </si>
  <si>
    <t>ASESORIAS EXTERNAS</t>
  </si>
  <si>
    <t>GASTO POR INSUMOS GENERALES</t>
  </si>
  <si>
    <t>GASTOS POR REPARACIÓN VEHICULO</t>
  </si>
  <si>
    <t>MATERIALES</t>
  </si>
  <si>
    <t>44062</t>
  </si>
  <si>
    <t>GASTOS NO DOCUMENTADOS</t>
  </si>
  <si>
    <t>44063</t>
  </si>
  <si>
    <t>IMPUESTO A LA RENTA</t>
  </si>
  <si>
    <t>GASTOS BANCARIOS</t>
  </si>
  <si>
    <t>MULTAS FISCALES</t>
  </si>
  <si>
    <t>GASTOS DEUDORES INCOBRABLES</t>
  </si>
  <si>
    <t xml:space="preserve">CASTIGO DEUDORES POR VENTAS </t>
  </si>
  <si>
    <t>CASTIGO DE MERCADERIA</t>
  </si>
  <si>
    <t>MERMA MERCADERIA</t>
  </si>
  <si>
    <t>ARRIENDOS</t>
  </si>
  <si>
    <t>SEGUROS</t>
  </si>
  <si>
    <t>INTERESES DE LEASING</t>
  </si>
  <si>
    <t>INTERESES FINANCIEROS</t>
  </si>
  <si>
    <t>DEPRECIACIÓN FINANCIERA DEL EJERCICIO</t>
  </si>
  <si>
    <t>DEPRECIACIÓN LEASING DEL EJERCICIO</t>
  </si>
  <si>
    <t>PERDIDA VENTA VEHICULO</t>
  </si>
  <si>
    <t>GANANCIA FONDOS MUTUOS</t>
  </si>
  <si>
    <t>INTERESES GANADOS</t>
  </si>
  <si>
    <t>VENTA DE VEHICULO</t>
  </si>
  <si>
    <t>REAJUSTE PPMO</t>
  </si>
  <si>
    <t>INGRESOS POR VENTAS</t>
  </si>
  <si>
    <t>INGRESOS POR ARRIENDOS</t>
  </si>
  <si>
    <t>SUBTOTAL</t>
  </si>
  <si>
    <t>RESULTADO EJERCICIO</t>
  </si>
  <si>
    <t>Determinación de la RLI   Régimen Propyme   del artículo 14 D Nª 3 al 31 de diciembre del 2023</t>
  </si>
  <si>
    <t>$</t>
  </si>
  <si>
    <t xml:space="preserve">ESTADO </t>
  </si>
  <si>
    <t>No Percibido  ó</t>
  </si>
  <si>
    <t>Percibido  ó</t>
  </si>
  <si>
    <t>BASE IMP.</t>
  </si>
  <si>
    <t>RESULTADO</t>
  </si>
  <si>
    <t>No pagado</t>
  </si>
  <si>
    <t>Pagado</t>
  </si>
  <si>
    <t>Ingresos percibidos del giro</t>
  </si>
  <si>
    <t>=</t>
  </si>
  <si>
    <t>Ventas netas año 2023 a entidades NO relacionadas</t>
  </si>
  <si>
    <t>+</t>
  </si>
  <si>
    <t>Ventas netas año 2023 a entidades relacionadas sujetas al régimen pro pyme (art. 14 letra D) N° 3)</t>
  </si>
  <si>
    <t>Cobro facturas emitidas en 2022 no relacionadas y/o 14 D3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</si>
  <si>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</si>
  <si>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</si>
  <si>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</si>
  <si>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</si>
  <si>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Ventas netas año 2022 a entidades relacionadas sujetas al régimen de imputación parcial de créditos (art. 14 letra A))</t>
  </si>
  <si>
    <t>Cobro factura emitida en  2021 empresas relacionadas del artículo 14 letra A</t>
  </si>
  <si>
    <t>Otros ingresos percibidos o devengados</t>
  </si>
  <si>
    <t>Venta de activo fijo</t>
  </si>
  <si>
    <t>Otros ingresos</t>
  </si>
  <si>
    <t>Ingresos No Rentas</t>
  </si>
  <si>
    <t>Reajuste PPM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</si>
  <si>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</si>
  <si>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</si>
  <si>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</si>
  <si>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afecto a imptos. Finales sin crédito</t>
  </si>
  <si>
    <t>Dividendo o retiro que es RAP</t>
  </si>
  <si>
    <t>Dividendo o retiro que es REX</t>
  </si>
  <si>
    <t>Dividendo o retiro que es INR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</si>
  <si>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</si>
  <si>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</si>
  <si>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</si>
  <si>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</t>
  </si>
  <si>
    <t>(-)</t>
  </si>
  <si>
    <t>Gasto por saldo inicial de activos fijos depreciables en cambio de régimen</t>
  </si>
  <si>
    <t>Gasto por pérdida tributaria en cambio de régimen</t>
  </si>
  <si>
    <t>Existencias o insumos del negocio</t>
  </si>
  <si>
    <t>Gastos de rentas de fuente extranjera</t>
  </si>
  <si>
    <t>Remuneraciones</t>
  </si>
  <si>
    <t>Honorarios</t>
  </si>
  <si>
    <t>Adquisición de bienes del activo fijo</t>
  </si>
  <si>
    <t>Servicios recibidos</t>
  </si>
  <si>
    <t>Arriendos</t>
  </si>
  <si>
    <t>Gastos por responsabilidad social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</si>
  <si>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</si>
  <si>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</si>
  <si>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</si>
  <si>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</si>
  <si>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LIR pagados</t>
  </si>
  <si>
    <t>Partidas del art. 21 inciso 3° LIR pagados</t>
  </si>
  <si>
    <t>Partidas del art. 21 inc. 1° no afectados con IU 40% LIR pagados</t>
  </si>
  <si>
    <t>Partidas del art. 21 del inc. 2° LIR pagados</t>
  </si>
  <si>
    <t>Pérdida en rescate o enajenación de inversiones o bienes no depreciables</t>
  </si>
  <si>
    <t>Otros gastos deducibles de los ingresos aceptados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</si>
  <si>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</si>
  <si>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</si>
  <si>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</si>
  <si>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Gastos aceptados por donaciones</t>
  </si>
  <si>
    <t xml:space="preserve">Otros gastos no incluidos anteriormente </t>
  </si>
  <si>
    <t>Depreciaciòn del ejercicio</t>
  </si>
  <si>
    <t>Costo de Ventas</t>
  </si>
  <si>
    <t>xxxx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</si>
  <si>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</si>
  <si>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</si>
  <si>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</t>
  </si>
  <si>
    <t>según art. 14 letra A) N°6, de la LIR (si es negativo traslade al código 1440)</t>
  </si>
  <si>
    <t>Incentivo al ahorro según art. 14 letra E) LIR</t>
  </si>
  <si>
    <t>Base del IDPC voluntario según  art. 14 letra A) N°  6 LIR y art. 42 transitorio Ley 21.210</t>
  </si>
  <si>
    <t>Base Imponible afecta a IDPC (o pérdida tributaria antes de imputar dividendos o retiros percibidos) del ejercicio</t>
  </si>
  <si>
    <t>IMPUTACION A LA PERDIDA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</si>
  <si>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</si>
  <si>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</si>
  <si>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</si>
  <si>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IMPUESTO UNICO DEL 30%</t>
  </si>
  <si>
    <t>Renta imponible art 21 inciso 1º</t>
  </si>
  <si>
    <t>Recuadro N° 17: BASE IMPONIBLE RÉGIMEN PRO PYME (art. 14 letra D) N° 3 LIR)</t>
  </si>
  <si>
    <t>PERCIBIDO O PAGADO</t>
  </si>
  <si>
    <t>Ingresos percibidos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</si>
  <si>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</si>
  <si>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</si>
  <si>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</si>
  <si>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</si>
  <si>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</si>
  <si>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</si>
  <si>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</si>
  <si>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</si>
  <si>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</si>
  <si>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</si>
  <si>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</si>
  <si>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Partidas del art. 21 inciso 1° y 3° LIR pagados</t>
  </si>
  <si>
    <t>Partidas del art. 21 inc. 1° no afectados con IU 40% y del inc. 2° LIR pagados</t>
  </si>
  <si>
    <t>Otros gastos deducibles de los ingresos</t>
  </si>
  <si>
    <t>Solo por este año no se utiliza</t>
  </si>
  <si>
    <t>Base Imponible antes de rebaja por incentivo al ahorro según art. 14 letra E) y/o por pago de IDPC voluntario según art. 14 letra A) N°6, de la LIR (si es negativo traslade al código 1440)</t>
  </si>
  <si>
    <t>IMPUTACIONES A LA PÉRDIDA TRIBUTARIA DEL EJERCICIO</t>
  </si>
  <si>
    <t>FINIQUITOS</t>
  </si>
  <si>
    <t>IMPUESTO UNICO AL TRABAJO</t>
  </si>
  <si>
    <t>MOVILIZACIÓN Y COLACIÓN</t>
  </si>
  <si>
    <t>MOV  Y COL</t>
  </si>
  <si>
    <t>APORTE PATRONAL</t>
  </si>
  <si>
    <t>CARGAS FAMILIARES</t>
  </si>
  <si>
    <t>DESCUENTOS</t>
  </si>
  <si>
    <t>ANTICIPOS</t>
  </si>
  <si>
    <t>SUELDO LIQUIDO</t>
  </si>
  <si>
    <t>IUT</t>
  </si>
  <si>
    <t>PRESTAMOS AL PERSONAL</t>
  </si>
  <si>
    <t>ANTICIPO AL PERSONAL</t>
  </si>
  <si>
    <t>CUENTA PARTICULAR SOCIOS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</si>
</sst>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$&quot;* #,##0_ ;_ &quot;$&quot;* \-#,##0_ ;_ &quot;$&quot;* &quot;-&quot;_ ;_ @_ "/>
    <numFmt numFmtId="164" formatCode="_(* #,##0.00_);_(* \(#,##0.00\);_(* &quot;-&quot;??_);_(@_)"/>
    <numFmt numFmtId="165" formatCode="00000"/>
    <numFmt numFmtId="166" formatCode="_(* #,##0_);_(* \(#,##0\);_(* &quot;-&quot;??_);_(@_)"/>
    <numFmt numFmtId="167" formatCode="_-* #,##0_-;\-* #,##0_-;_-* &quot;-&quot;_-;_-@_-"/>
    <numFmt numFmtId="168" formatCode="_-* #,##0.00_-;\-* #,##0.00_-;_-* &quot;-&quot;??_-;_-@_-"/>
    <numFmt numFmtId="169" formatCode="#,##0.000"/>
    <numFmt numFmtId="170" formatCode="_-* #,##0_-;\-* #,##0_-;_-* &quot;-&quot;??_-;_-@_-"/>
    <numFmt numFmtId="172" formatCode="#,##0;[Red]\(#,##0\)"/>
    <numFmt numFmtId="173" formatCode="_-* #,##0.00\ _$_-;\-* #,##0.00\ _$_-;_-* &quot;-&quot;??\ _$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3" tint="0.39997558519241921"/>
      <name val="Arial"/>
      <family val="2"/>
    </font>
    <font>
      <sz val="8"/>
      <name val="Arial Narrow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b/>
      <u/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85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Calibri"/>
      <family val="2"/>
      <scheme val="minor"/>
    </font>
    <font>
      <sz val="12"/>
      <color rgb="FFFF0000"/>
      <name val="Verdana"/>
      <family val="2"/>
    </font>
    <font>
      <sz val="11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theme="10"/>
      <name val="Calibri"/>
      <family val="2"/>
      <scheme val="minor"/>
    </font>
    <font>
      <u/>
      <sz val="11"/>
      <color indexed="30"/>
      <name val="Arial Black"/>
      <family val="2"/>
    </font>
    <font>
      <u/>
      <sz val="11"/>
      <color indexed="60"/>
      <name val="Tw Cen MT Condensed Extra Bold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64"/>
      </patternFill>
    </fill>
    <fill>
      <patternFill patternType="lightDown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8" fontId="1" fillId="0" borderId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3" fontId="35" fillId="0" borderId="0" applyFont="0" applyFill="0" applyBorder="0" applyAlignment="0" applyProtection="0"/>
  </cellStyleXfs>
  <cellXfs count="432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quotePrefix="1" applyFont="1" applyAlignment="1">
      <alignment wrapText="1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"/>
    </xf>
    <xf numFmtId="0" fontId="1" fillId="0" borderId="0" xfId="1" applyAlignment="1">
      <alignment wrapText="1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textRotation="90"/>
    </xf>
    <xf numFmtId="0" fontId="3" fillId="0" borderId="0" xfId="1" quotePrefix="1" applyFont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165" fontId="2" fillId="0" borderId="0" xfId="2" applyNumberFormat="1" applyFont="1" applyFill="1" applyBorder="1" applyAlignment="1">
      <alignment horizontal="left" vertical="top" wrapText="1"/>
    </xf>
    <xf numFmtId="166" fontId="2" fillId="0" borderId="0" xfId="2" applyNumberFormat="1" applyFont="1" applyFill="1" applyBorder="1" applyAlignment="1">
      <alignment horizontal="left" vertical="top" wrapText="1"/>
    </xf>
    <xf numFmtId="0" fontId="2" fillId="0" borderId="7" xfId="1" applyFont="1" applyBorder="1"/>
    <xf numFmtId="0" fontId="2" fillId="0" borderId="0" xfId="1" applyFont="1" applyAlignment="1">
      <alignment horizontal="center" vertical="center"/>
    </xf>
    <xf numFmtId="166" fontId="2" fillId="0" borderId="0" xfId="2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3" xfId="1" applyFont="1" applyBorder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2" fillId="0" borderId="3" xfId="1" applyFont="1" applyBorder="1" applyAlignment="1">
      <alignment horizontal="center"/>
    </xf>
    <xf numFmtId="0" fontId="9" fillId="2" borderId="0" xfId="3" applyFill="1"/>
    <xf numFmtId="0" fontId="9" fillId="2" borderId="0" xfId="3" applyFill="1" applyAlignment="1">
      <alignment horizontal="center"/>
    </xf>
    <xf numFmtId="0" fontId="10" fillId="2" borderId="0" xfId="3" applyFont="1" applyFill="1" applyAlignment="1">
      <alignment horizontal="center"/>
    </xf>
    <xf numFmtId="0" fontId="9" fillId="2" borderId="0" xfId="3" applyFill="1" applyAlignment="1"/>
    <xf numFmtId="3" fontId="9" fillId="2" borderId="0" xfId="3" applyNumberFormat="1" applyFill="1" applyAlignment="1">
      <alignment horizontal="center"/>
    </xf>
    <xf numFmtId="3" fontId="9" fillId="2" borderId="0" xfId="3" applyNumberFormat="1" applyFill="1"/>
    <xf numFmtId="0" fontId="11" fillId="2" borderId="0" xfId="3" applyFont="1" applyFill="1"/>
    <xf numFmtId="167" fontId="12" fillId="2" borderId="0" xfId="3" applyNumberFormat="1" applyFont="1" applyFill="1" applyAlignment="1" applyProtection="1">
      <alignment horizontal="center"/>
      <protection locked="0"/>
    </xf>
    <xf numFmtId="167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 applyProtection="1">
      <protection locked="0"/>
    </xf>
    <xf numFmtId="3" fontId="12" fillId="2" borderId="0" xfId="3" applyNumberFormat="1" applyFont="1" applyFill="1" applyAlignment="1" applyProtection="1">
      <alignment horizontal="center"/>
      <protection locked="0"/>
    </xf>
    <xf numFmtId="0" fontId="9" fillId="2" borderId="0" xfId="3" applyFill="1" applyBorder="1"/>
    <xf numFmtId="167" fontId="13" fillId="2" borderId="0" xfId="3" applyNumberFormat="1" applyFont="1" applyFill="1" applyAlignment="1" applyProtection="1">
      <alignment horizontal="left"/>
      <protection locked="0"/>
    </xf>
    <xf numFmtId="0" fontId="9" fillId="2" borderId="0" xfId="3" applyFill="1" applyBorder="1" applyAlignment="1">
      <alignment horizontal="center"/>
    </xf>
    <xf numFmtId="0" fontId="9" fillId="2" borderId="0" xfId="3" applyFill="1" applyBorder="1" applyAlignment="1">
      <alignment horizontal="left"/>
    </xf>
    <xf numFmtId="0" fontId="9" fillId="2" borderId="0" xfId="3" applyFill="1" applyBorder="1" applyAlignment="1"/>
    <xf numFmtId="3" fontId="9" fillId="2" borderId="0" xfId="3" applyNumberFormat="1" applyFill="1" applyBorder="1" applyAlignment="1">
      <alignment horizontal="center"/>
    </xf>
    <xf numFmtId="49" fontId="9" fillId="2" borderId="0" xfId="3" applyNumberFormat="1" applyFill="1" applyBorder="1" applyAlignment="1">
      <alignment horizontal="center"/>
    </xf>
    <xf numFmtId="3" fontId="12" fillId="2" borderId="0" xfId="3" applyNumberFormat="1" applyFont="1" applyFill="1" applyBorder="1" applyAlignment="1">
      <alignment horizontal="center"/>
    </xf>
    <xf numFmtId="3" fontId="9" fillId="2" borderId="15" xfId="3" applyNumberFormat="1" applyFill="1" applyBorder="1" applyAlignment="1">
      <alignment horizontal="center"/>
    </xf>
    <xf numFmtId="49" fontId="9" fillId="2" borderId="15" xfId="3" applyNumberFormat="1" applyFill="1" applyBorder="1" applyAlignment="1">
      <alignment horizontal="center"/>
    </xf>
    <xf numFmtId="3" fontId="12" fillId="2" borderId="15" xfId="3" applyNumberFormat="1" applyFont="1" applyFill="1" applyBorder="1" applyAlignment="1">
      <alignment horizontal="center"/>
    </xf>
    <xf numFmtId="3" fontId="12" fillId="2" borderId="15" xfId="4" applyNumberFormat="1" applyFont="1" applyFill="1" applyBorder="1" applyAlignment="1">
      <alignment horizontal="center"/>
    </xf>
    <xf numFmtId="0" fontId="12" fillId="2" borderId="0" xfId="3" applyFont="1" applyFill="1" applyBorder="1" applyAlignment="1">
      <alignment horizontal="right"/>
    </xf>
    <xf numFmtId="0" fontId="14" fillId="0" borderId="16" xfId="3" applyFont="1" applyBorder="1" applyAlignment="1" applyProtection="1">
      <alignment horizontal="left"/>
    </xf>
    <xf numFmtId="0" fontId="14" fillId="0" borderId="0" xfId="3" applyFont="1" applyBorder="1"/>
    <xf numFmtId="0" fontId="9" fillId="0" borderId="0" xfId="3" applyFont="1" applyBorder="1"/>
    <xf numFmtId="0" fontId="9" fillId="0" borderId="17" xfId="3" applyFont="1" applyBorder="1"/>
    <xf numFmtId="0" fontId="9" fillId="0" borderId="0" xfId="3" applyFont="1"/>
    <xf numFmtId="0" fontId="14" fillId="0" borderId="0" xfId="3" applyFont="1" applyFill="1" applyBorder="1"/>
    <xf numFmtId="0" fontId="9" fillId="0" borderId="0" xfId="3" applyFont="1" applyBorder="1" applyAlignment="1">
      <alignment horizontal="center"/>
    </xf>
    <xf numFmtId="0" fontId="9" fillId="0" borderId="16" xfId="3" applyFont="1" applyBorder="1"/>
    <xf numFmtId="0" fontId="14" fillId="0" borderId="0" xfId="3" applyFont="1" applyBorder="1" applyAlignment="1" applyProtection="1">
      <alignment horizontal="left"/>
    </xf>
    <xf numFmtId="0" fontId="14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15" fontId="14" fillId="0" borderId="0" xfId="3" applyNumberFormat="1" applyFont="1" applyBorder="1"/>
    <xf numFmtId="0" fontId="15" fillId="0" borderId="0" xfId="3" applyFont="1" applyBorder="1" applyAlignment="1" applyProtection="1">
      <alignment horizontal="left"/>
    </xf>
    <xf numFmtId="0" fontId="16" fillId="0" borderId="0" xfId="3" applyFont="1" applyBorder="1"/>
    <xf numFmtId="0" fontId="9" fillId="0" borderId="0" xfId="3" applyFont="1" applyBorder="1" applyAlignment="1" applyProtection="1">
      <alignment horizontal="fill"/>
    </xf>
    <xf numFmtId="3" fontId="9" fillId="0" borderId="0" xfId="3" applyNumberFormat="1" applyFont="1" applyBorder="1"/>
    <xf numFmtId="0" fontId="14" fillId="0" borderId="16" xfId="3" applyFont="1" applyBorder="1"/>
    <xf numFmtId="0" fontId="14" fillId="0" borderId="19" xfId="3" applyFont="1" applyBorder="1"/>
    <xf numFmtId="0" fontId="14" fillId="0" borderId="20" xfId="3" applyFont="1" applyBorder="1" applyAlignment="1">
      <alignment horizontal="center"/>
    </xf>
    <xf numFmtId="0" fontId="14" fillId="0" borderId="21" xfId="3" applyFont="1" applyBorder="1" applyAlignment="1">
      <alignment horizontal="center"/>
    </xf>
    <xf numFmtId="0" fontId="14" fillId="0" borderId="22" xfId="3" applyFont="1" applyBorder="1" applyAlignment="1">
      <alignment horizontal="center"/>
    </xf>
    <xf numFmtId="0" fontId="14" fillId="0" borderId="23" xfId="3" applyFont="1" applyBorder="1" applyAlignment="1">
      <alignment horizontal="center"/>
    </xf>
    <xf numFmtId="0" fontId="14" fillId="0" borderId="24" xfId="3" applyFont="1" applyBorder="1" applyAlignment="1">
      <alignment horizontal="center"/>
    </xf>
    <xf numFmtId="0" fontId="14" fillId="0" borderId="25" xfId="3" applyFont="1" applyBorder="1"/>
    <xf numFmtId="0" fontId="14" fillId="0" borderId="26" xfId="3" applyFont="1" applyBorder="1"/>
    <xf numFmtId="0" fontId="14" fillId="0" borderId="27" xfId="3" applyFont="1" applyBorder="1"/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0" fontId="14" fillId="0" borderId="28" xfId="3" applyFont="1" applyBorder="1" applyAlignment="1">
      <alignment horizontal="center"/>
    </xf>
    <xf numFmtId="0" fontId="9" fillId="0" borderId="29" xfId="3" applyFont="1" applyBorder="1"/>
    <xf numFmtId="3" fontId="9" fillId="0" borderId="30" xfId="3" applyNumberFormat="1" applyFont="1" applyFill="1" applyBorder="1" applyAlignment="1">
      <alignment horizontal="center"/>
    </xf>
    <xf numFmtId="3" fontId="9" fillId="0" borderId="2" xfId="3" applyNumberFormat="1" applyFont="1" applyBorder="1" applyAlignment="1">
      <alignment horizontal="center"/>
    </xf>
    <xf numFmtId="3" fontId="9" fillId="0" borderId="30" xfId="3" applyNumberFormat="1" applyFont="1" applyBorder="1" applyAlignment="1">
      <alignment horizontal="center"/>
    </xf>
    <xf numFmtId="3" fontId="9" fillId="0" borderId="18" xfId="3" applyNumberFormat="1" applyFont="1" applyBorder="1" applyAlignment="1">
      <alignment horizontal="center"/>
    </xf>
    <xf numFmtId="3" fontId="9" fillId="0" borderId="31" xfId="3" applyNumberFormat="1" applyFont="1" applyFill="1" applyBorder="1" applyAlignment="1">
      <alignment horizontal="center"/>
    </xf>
    <xf numFmtId="0" fontId="9" fillId="0" borderId="30" xfId="3" applyFont="1" applyBorder="1" applyAlignment="1">
      <alignment horizontal="center"/>
    </xf>
    <xf numFmtId="0" fontId="14" fillId="0" borderId="29" xfId="3" applyFont="1" applyBorder="1"/>
    <xf numFmtId="3" fontId="14" fillId="0" borderId="30" xfId="3" applyNumberFormat="1" applyFont="1" applyBorder="1" applyAlignment="1">
      <alignment horizontal="center"/>
    </xf>
    <xf numFmtId="3" fontId="14" fillId="3" borderId="30" xfId="3" applyNumberFormat="1" applyFont="1" applyFill="1" applyBorder="1" applyAlignment="1">
      <alignment horizontal="center"/>
    </xf>
    <xf numFmtId="3" fontId="14" fillId="0" borderId="0" xfId="3" applyNumberFormat="1" applyFont="1" applyBorder="1" applyAlignment="1">
      <alignment horizontal="center"/>
    </xf>
    <xf numFmtId="3" fontId="14" fillId="0" borderId="17" xfId="3" applyNumberFormat="1" applyFont="1" applyBorder="1" applyAlignment="1">
      <alignment horizontal="center"/>
    </xf>
    <xf numFmtId="0" fontId="9" fillId="0" borderId="16" xfId="3" applyFont="1" applyBorder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9" fillId="0" borderId="0" xfId="3" applyFont="1" applyBorder="1" applyAlignment="1">
      <alignment horizontal="left"/>
    </xf>
    <xf numFmtId="0" fontId="9" fillId="0" borderId="32" xfId="3" applyFont="1" applyFill="1" applyBorder="1" applyAlignment="1">
      <alignment horizontal="center"/>
    </xf>
    <xf numFmtId="0" fontId="14" fillId="0" borderId="0" xfId="3" applyFont="1"/>
    <xf numFmtId="0" fontId="9" fillId="0" borderId="33" xfId="3" applyFont="1" applyBorder="1"/>
    <xf numFmtId="0" fontId="9" fillId="0" borderId="34" xfId="3" applyFont="1" applyBorder="1"/>
    <xf numFmtId="0" fontId="9" fillId="0" borderId="35" xfId="3" applyFont="1" applyBorder="1"/>
    <xf numFmtId="0" fontId="9" fillId="0" borderId="36" xfId="3" applyFont="1" applyBorder="1"/>
    <xf numFmtId="0" fontId="9" fillId="0" borderId="37" xfId="3" applyFont="1" applyBorder="1"/>
    <xf numFmtId="0" fontId="9" fillId="0" borderId="38" xfId="3" applyFont="1" applyBorder="1"/>
    <xf numFmtId="0" fontId="14" fillId="0" borderId="23" xfId="3" applyFont="1" applyBorder="1"/>
    <xf numFmtId="0" fontId="9" fillId="0" borderId="2" xfId="3" applyFont="1" applyBorder="1"/>
    <xf numFmtId="170" fontId="0" fillId="0" borderId="2" xfId="4" applyNumberFormat="1" applyFont="1" applyBorder="1" applyAlignment="1">
      <alignment horizontal="center"/>
    </xf>
    <xf numFmtId="170" fontId="0" fillId="0" borderId="2" xfId="4" applyNumberFormat="1" applyFont="1" applyBorder="1"/>
    <xf numFmtId="0" fontId="9" fillId="0" borderId="39" xfId="3" applyFont="1" applyBorder="1"/>
    <xf numFmtId="3" fontId="9" fillId="0" borderId="26" xfId="3" applyNumberFormat="1" applyFont="1" applyBorder="1" applyAlignment="1">
      <alignment horizontal="center"/>
    </xf>
    <xf numFmtId="3" fontId="9" fillId="0" borderId="40" xfId="3" applyNumberFormat="1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3" fontId="9" fillId="0" borderId="28" xfId="3" applyNumberFormat="1" applyFont="1" applyBorder="1" applyAlignment="1">
      <alignment horizontal="center"/>
    </xf>
    <xf numFmtId="3" fontId="9" fillId="0" borderId="0" xfId="3" applyNumberFormat="1" applyFont="1"/>
    <xf numFmtId="3" fontId="9" fillId="0" borderId="31" xfId="3" applyNumberFormat="1" applyFont="1" applyBorder="1" applyAlignment="1">
      <alignment horizontal="center"/>
    </xf>
    <xf numFmtId="170" fontId="9" fillId="0" borderId="0" xfId="3" applyNumberFormat="1" applyFont="1"/>
    <xf numFmtId="3" fontId="0" fillId="0" borderId="0" xfId="0" applyNumberFormat="1"/>
    <xf numFmtId="169" fontId="17" fillId="0" borderId="2" xfId="0" applyNumberFormat="1" applyFont="1" applyBorder="1" applyAlignment="1">
      <alignment horizontal="center"/>
    </xf>
    <xf numFmtId="3" fontId="14" fillId="0" borderId="0" xfId="3" applyNumberFormat="1" applyFont="1" applyBorder="1" applyAlignment="1">
      <alignment horizontal="left"/>
    </xf>
    <xf numFmtId="3" fontId="12" fillId="2" borderId="0" xfId="3" applyNumberFormat="1" applyFont="1" applyFill="1" applyAlignment="1" applyProtection="1">
      <alignment horizontal="center" wrapText="1"/>
      <protection locked="0"/>
    </xf>
    <xf numFmtId="0" fontId="14" fillId="0" borderId="18" xfId="3" applyFont="1" applyBorder="1" applyAlignment="1">
      <alignment horizontal="center"/>
    </xf>
    <xf numFmtId="0" fontId="14" fillId="0" borderId="0" xfId="3" applyFont="1" applyFill="1" applyBorder="1" applyAlignment="1">
      <alignment horizontal="left" vertical="center"/>
    </xf>
    <xf numFmtId="166" fontId="2" fillId="0" borderId="2" xfId="2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3" fontId="2" fillId="0" borderId="3" xfId="2" applyNumberFormat="1" applyFont="1" applyFill="1" applyBorder="1" applyAlignment="1">
      <alignment horizontal="center" vertical="top" wrapText="1"/>
    </xf>
    <xf numFmtId="3" fontId="2" fillId="0" borderId="4" xfId="2" applyNumberFormat="1" applyFont="1" applyFill="1" applyBorder="1" applyAlignment="1">
      <alignment horizontal="center" vertical="top" wrapText="1"/>
    </xf>
    <xf numFmtId="3" fontId="2" fillId="0" borderId="5" xfId="2" applyNumberFormat="1" applyFont="1" applyFill="1" applyBorder="1" applyAlignment="1">
      <alignment horizontal="center" vertical="top" wrapText="1"/>
    </xf>
    <xf numFmtId="166" fontId="2" fillId="0" borderId="3" xfId="2" applyNumberFormat="1" applyFont="1" applyFill="1" applyBorder="1" applyAlignment="1">
      <alignment horizontal="center" vertical="top" wrapText="1"/>
    </xf>
    <xf numFmtId="166" fontId="2" fillId="0" borderId="4" xfId="2" applyNumberFormat="1" applyFont="1" applyFill="1" applyBorder="1" applyAlignment="1">
      <alignment horizontal="center" vertical="top" wrapText="1"/>
    </xf>
    <xf numFmtId="166" fontId="2" fillId="0" borderId="5" xfId="2" applyNumberFormat="1" applyFont="1" applyFill="1" applyBorder="1" applyAlignment="1">
      <alignment horizontal="center" vertical="top" wrapText="1"/>
    </xf>
    <xf numFmtId="166" fontId="2" fillId="0" borderId="3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>
      <alignment horizontal="center"/>
    </xf>
    <xf numFmtId="166" fontId="2" fillId="0" borderId="5" xfId="2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6" fontId="5" fillId="0" borderId="3" xfId="2" applyNumberFormat="1" applyFont="1" applyFill="1" applyBorder="1" applyAlignment="1">
      <alignment horizontal="center"/>
    </xf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0" fontId="1" fillId="0" borderId="1" xfId="1" applyBorder="1" applyAlignment="1">
      <alignment horizontal="right"/>
    </xf>
    <xf numFmtId="0" fontId="1" fillId="0" borderId="0" xfId="1" applyAlignment="1">
      <alignment horizontal="right"/>
    </xf>
    <xf numFmtId="0" fontId="1" fillId="0" borderId="2" xfId="1" applyBorder="1" applyAlignment="1">
      <alignment horizontal="center"/>
    </xf>
    <xf numFmtId="0" fontId="6" fillId="0" borderId="0" xfId="1" applyFont="1" applyFill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 vertical="center" textRotation="90"/>
    </xf>
    <xf numFmtId="0" fontId="2" fillId="0" borderId="14" xfId="1" applyFont="1" applyBorder="1" applyAlignment="1">
      <alignment horizontal="right" vertical="center" textRotation="90"/>
    </xf>
    <xf numFmtId="0" fontId="7" fillId="0" borderId="8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wrapText="1"/>
    </xf>
    <xf numFmtId="0" fontId="4" fillId="0" borderId="7" xfId="1" applyFont="1" applyBorder="1" applyAlignment="1">
      <alignment horizontal="center" wrapText="1"/>
    </xf>
    <xf numFmtId="0" fontId="2" fillId="0" borderId="2" xfId="1" quotePrefix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166" fontId="2" fillId="0" borderId="12" xfId="2" applyNumberFormat="1" applyFont="1" applyFill="1" applyBorder="1" applyAlignment="1">
      <alignment horizontal="center"/>
    </xf>
    <xf numFmtId="166" fontId="2" fillId="0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166" fontId="2" fillId="0" borderId="7" xfId="2" applyNumberFormat="1" applyFont="1" applyFill="1" applyBorder="1" applyAlignment="1">
      <alignment horizontal="left" wrapText="1"/>
    </xf>
    <xf numFmtId="166" fontId="2" fillId="0" borderId="0" xfId="2" applyNumberFormat="1" applyFont="1" applyFill="1" applyBorder="1" applyAlignment="1">
      <alignment horizontal="left" wrapText="1"/>
    </xf>
    <xf numFmtId="0" fontId="8" fillId="0" borderId="2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left" wrapText="1"/>
    </xf>
    <xf numFmtId="0" fontId="3" fillId="0" borderId="0" xfId="1" applyFont="1" applyAlignment="1">
      <alignment horizontal="left"/>
    </xf>
    <xf numFmtId="10" fontId="9" fillId="0" borderId="0" xfId="6" applyNumberFormat="1" applyFont="1"/>
    <xf numFmtId="3" fontId="2" fillId="0" borderId="2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0" fillId="2" borderId="0" xfId="0" applyFont="1" applyFill="1"/>
    <xf numFmtId="0" fontId="19" fillId="2" borderId="0" xfId="0" applyFont="1" applyFill="1"/>
    <xf numFmtId="0" fontId="1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42" fontId="0" fillId="0" borderId="14" xfId="5" applyFont="1" applyFill="1" applyBorder="1"/>
    <xf numFmtId="0" fontId="0" fillId="2" borderId="4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10" xfId="0" applyFill="1" applyBorder="1"/>
    <xf numFmtId="0" fontId="0" fillId="2" borderId="43" xfId="0" applyFill="1" applyBorder="1" applyAlignment="1">
      <alignment horizontal="center"/>
    </xf>
    <xf numFmtId="0" fontId="12" fillId="2" borderId="44" xfId="0" applyFont="1" applyFill="1" applyBorder="1"/>
    <xf numFmtId="3" fontId="12" fillId="2" borderId="45" xfId="0" applyNumberFormat="1" applyFont="1" applyFill="1" applyBorder="1"/>
    <xf numFmtId="3" fontId="12" fillId="2" borderId="46" xfId="0" applyNumberFormat="1" applyFont="1" applyFill="1" applyBorder="1"/>
    <xf numFmtId="0" fontId="12" fillId="2" borderId="2" xfId="0" applyFont="1" applyFill="1" applyBorder="1"/>
    <xf numFmtId="3" fontId="12" fillId="2" borderId="2" xfId="0" applyNumberFormat="1" applyFont="1" applyFill="1" applyBorder="1"/>
    <xf numFmtId="3" fontId="12" fillId="2" borderId="47" xfId="0" applyNumberFormat="1" applyFont="1" applyFill="1" applyBorder="1"/>
    <xf numFmtId="0" fontId="0" fillId="2" borderId="48" xfId="0" applyFill="1" applyBorder="1" applyAlignment="1">
      <alignment horizontal="center"/>
    </xf>
    <xf numFmtId="0" fontId="19" fillId="2" borderId="49" xfId="0" applyFont="1" applyFill="1" applyBorder="1"/>
    <xf numFmtId="3" fontId="12" fillId="2" borderId="49" xfId="0" applyNumberFormat="1" applyFont="1" applyFill="1" applyBorder="1"/>
    <xf numFmtId="3" fontId="12" fillId="2" borderId="5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21" fillId="0" borderId="0" xfId="0" applyFont="1"/>
    <xf numFmtId="0" fontId="21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51" xfId="0" applyFont="1" applyFill="1" applyBorder="1"/>
    <xf numFmtId="0" fontId="22" fillId="5" borderId="43" xfId="0" applyFont="1" applyFill="1" applyBorder="1" applyAlignment="1">
      <alignment horizontal="left" vertical="center"/>
    </xf>
    <xf numFmtId="0" fontId="23" fillId="5" borderId="44" xfId="0" applyFont="1" applyFill="1" applyBorder="1" applyAlignment="1">
      <alignment horizontal="left" vertical="center"/>
    </xf>
    <xf numFmtId="0" fontId="22" fillId="4" borderId="44" xfId="0" applyFont="1" applyFill="1" applyBorder="1" applyAlignment="1">
      <alignment horizontal="center" vertical="center"/>
    </xf>
    <xf numFmtId="0" fontId="22" fillId="5" borderId="44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172" fontId="24" fillId="0" borderId="54" xfId="0" applyNumberFormat="1" applyFont="1" applyFill="1" applyBorder="1" applyAlignment="1">
      <alignment horizontal="left" vertical="center"/>
    </xf>
    <xf numFmtId="172" fontId="25" fillId="0" borderId="45" xfId="0" applyNumberFormat="1" applyFont="1" applyFill="1" applyBorder="1" applyAlignment="1">
      <alignment horizontal="center" vertical="center"/>
    </xf>
    <xf numFmtId="172" fontId="25" fillId="4" borderId="45" xfId="0" applyNumberFormat="1" applyFont="1" applyFill="1" applyBorder="1" applyAlignment="1">
      <alignment horizontal="center" vertical="center"/>
    </xf>
    <xf numFmtId="172" fontId="25" fillId="0" borderId="55" xfId="0" applyNumberFormat="1" applyFont="1" applyFill="1" applyBorder="1" applyAlignment="1">
      <alignment horizontal="center" vertical="center"/>
    </xf>
    <xf numFmtId="172" fontId="25" fillId="3" borderId="56" xfId="0" applyNumberFormat="1" applyFont="1" applyFill="1" applyBorder="1" applyAlignment="1">
      <alignment horizontal="center" vertical="center"/>
    </xf>
    <xf numFmtId="0" fontId="21" fillId="0" borderId="41" xfId="0" applyFont="1" applyBorder="1" applyAlignment="1">
      <alignment horizontal="left" indent="4"/>
    </xf>
    <xf numFmtId="172" fontId="25" fillId="0" borderId="2" xfId="0" applyNumberFormat="1" applyFont="1" applyFill="1" applyBorder="1" applyAlignment="1">
      <alignment horizontal="center" vertical="center"/>
    </xf>
    <xf numFmtId="172" fontId="26" fillId="4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3" borderId="57" xfId="0" applyNumberFormat="1" applyFont="1" applyFill="1" applyBorder="1" applyAlignment="1">
      <alignment horizontal="center"/>
    </xf>
    <xf numFmtId="0" fontId="21" fillId="0" borderId="48" xfId="0" applyFont="1" applyBorder="1" applyAlignment="1">
      <alignment horizontal="left" indent="4"/>
    </xf>
    <xf numFmtId="172" fontId="25" fillId="0" borderId="49" xfId="0" applyNumberFormat="1" applyFont="1" applyFill="1" applyBorder="1" applyAlignment="1">
      <alignment horizontal="center" vertical="center"/>
    </xf>
    <xf numFmtId="172" fontId="26" fillId="4" borderId="49" xfId="0" applyNumberFormat="1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3" borderId="59" xfId="0" applyNumberFormat="1" applyFont="1" applyFill="1" applyBorder="1" applyAlignment="1">
      <alignment horizontal="center"/>
    </xf>
    <xf numFmtId="172" fontId="24" fillId="0" borderId="60" xfId="0" applyNumberFormat="1" applyFont="1" applyFill="1" applyBorder="1" applyAlignment="1">
      <alignment horizontal="left" vertical="center"/>
    </xf>
    <xf numFmtId="172" fontId="25" fillId="0" borderId="14" xfId="0" applyNumberFormat="1" applyFont="1" applyFill="1" applyBorder="1" applyAlignment="1">
      <alignment horizontal="center" vertical="center"/>
    </xf>
    <xf numFmtId="172" fontId="25" fillId="4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61" xfId="0" applyFont="1" applyFill="1" applyBorder="1" applyAlignment="1">
      <alignment horizontal="center"/>
    </xf>
    <xf numFmtId="172" fontId="24" fillId="0" borderId="41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172" fontId="0" fillId="0" borderId="3" xfId="0" applyNumberFormat="1" applyFont="1" applyBorder="1" applyAlignment="1">
      <alignment horizontal="center"/>
    </xf>
    <xf numFmtId="172" fontId="0" fillId="3" borderId="57" xfId="0" applyNumberFormat="1" applyFont="1" applyFill="1" applyBorder="1" applyAlignment="1">
      <alignment horizontal="center"/>
    </xf>
    <xf numFmtId="172" fontId="24" fillId="0" borderId="42" xfId="0" applyNumberFormat="1" applyFont="1" applyFill="1" applyBorder="1" applyAlignment="1">
      <alignment horizontal="left" vertical="center" wrapText="1"/>
    </xf>
    <xf numFmtId="172" fontId="25" fillId="0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3" fontId="0" fillId="3" borderId="62" xfId="0" applyNumberFormat="1" applyFont="1" applyFill="1" applyBorder="1" applyAlignment="1">
      <alignment horizontal="center"/>
    </xf>
    <xf numFmtId="172" fontId="24" fillId="0" borderId="54" xfId="0" applyNumberFormat="1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center"/>
    </xf>
    <xf numFmtId="172" fontId="25" fillId="6" borderId="4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left" indent="5"/>
    </xf>
    <xf numFmtId="3" fontId="0" fillId="4" borderId="2" xfId="0" applyNumberFormat="1" applyFill="1" applyBorder="1" applyAlignment="1">
      <alignment horizontal="center"/>
    </xf>
    <xf numFmtId="172" fontId="25" fillId="0" borderId="12" xfId="0" applyNumberFormat="1" applyFont="1" applyFill="1" applyBorder="1" applyAlignment="1">
      <alignment horizontal="center" vertical="center"/>
    </xf>
    <xf numFmtId="172" fontId="26" fillId="3" borderId="61" xfId="0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0" fontId="0" fillId="0" borderId="41" xfId="0" applyBorder="1" applyAlignment="1">
      <alignment horizontal="left" indent="5"/>
    </xf>
    <xf numFmtId="0" fontId="0" fillId="0" borderId="42" xfId="0" applyBorder="1" applyAlignment="1">
      <alignment horizontal="left" indent="5"/>
    </xf>
    <xf numFmtId="0" fontId="0" fillId="3" borderId="5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3" borderId="62" xfId="0" applyFont="1" applyFill="1" applyBorder="1" applyAlignment="1">
      <alignment horizontal="center"/>
    </xf>
    <xf numFmtId="0" fontId="0" fillId="0" borderId="48" xfId="0" applyBorder="1" applyAlignment="1">
      <alignment horizontal="left" indent="5"/>
    </xf>
    <xf numFmtId="0" fontId="0" fillId="4" borderId="49" xfId="0" applyFill="1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172" fontId="24" fillId="0" borderId="60" xfId="0" applyNumberFormat="1" applyFont="1" applyFill="1" applyBorder="1" applyAlignment="1">
      <alignment horizontal="left" vertical="center" wrapText="1"/>
    </xf>
    <xf numFmtId="172" fontId="24" fillId="0" borderId="48" xfId="0" applyNumberFormat="1" applyFont="1" applyFill="1" applyBorder="1" applyAlignment="1">
      <alignment horizontal="left" vertical="center" wrapText="1"/>
    </xf>
    <xf numFmtId="172" fontId="25" fillId="4" borderId="49" xfId="0" applyNumberFormat="1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/>
    </xf>
    <xf numFmtId="172" fontId="27" fillId="6" borderId="63" xfId="0" applyNumberFormat="1" applyFont="1" applyFill="1" applyBorder="1" applyAlignment="1">
      <alignment vertical="center" wrapText="1"/>
    </xf>
    <xf numFmtId="172" fontId="25" fillId="6" borderId="64" xfId="0" applyNumberFormat="1" applyFont="1" applyFill="1" applyBorder="1" applyAlignment="1">
      <alignment horizontal="center" vertical="center"/>
    </xf>
    <xf numFmtId="172" fontId="25" fillId="4" borderId="64" xfId="0" applyNumberFormat="1" applyFont="1" applyFill="1" applyBorder="1" applyAlignment="1">
      <alignment horizontal="center" vertical="center"/>
    </xf>
    <xf numFmtId="172" fontId="25" fillId="3" borderId="65" xfId="0" applyNumberFormat="1" applyFont="1" applyFill="1" applyBorder="1" applyAlignment="1">
      <alignment horizontal="center" vertical="center"/>
    </xf>
    <xf numFmtId="49" fontId="25" fillId="0" borderId="45" xfId="0" applyNumberFormat="1" applyFont="1" applyFill="1" applyBorder="1" applyAlignment="1">
      <alignment horizontal="center" vertical="center"/>
    </xf>
    <xf numFmtId="3" fontId="0" fillId="3" borderId="66" xfId="0" applyNumberFormat="1" applyFont="1" applyFill="1" applyBorder="1" applyAlignment="1">
      <alignment horizontal="center"/>
    </xf>
    <xf numFmtId="172" fontId="24" fillId="0" borderId="41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/>
    </xf>
    <xf numFmtId="172" fontId="24" fillId="0" borderId="41" xfId="0" applyNumberFormat="1" applyFont="1" applyFill="1" applyBorder="1" applyAlignment="1">
      <alignment vertical="center" wrapText="1"/>
    </xf>
    <xf numFmtId="172" fontId="29" fillId="0" borderId="41" xfId="0" applyNumberFormat="1" applyFont="1" applyFill="1" applyBorder="1" applyAlignment="1">
      <alignment vertical="center" wrapText="1"/>
    </xf>
    <xf numFmtId="172" fontId="25" fillId="6" borderId="2" xfId="0" applyNumberFormat="1" applyFont="1" applyFill="1" applyBorder="1" applyAlignment="1">
      <alignment horizontal="center" vertical="center"/>
    </xf>
    <xf numFmtId="0" fontId="0" fillId="3" borderId="66" xfId="0" applyFont="1" applyFill="1" applyBorder="1" applyAlignment="1">
      <alignment horizontal="center"/>
    </xf>
    <xf numFmtId="0" fontId="0" fillId="3" borderId="67" xfId="0" applyFont="1" applyFill="1" applyBorder="1" applyAlignment="1">
      <alignment horizontal="center"/>
    </xf>
    <xf numFmtId="3" fontId="0" fillId="3" borderId="67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172" fontId="27" fillId="6" borderId="68" xfId="0" applyNumberFormat="1" applyFont="1" applyFill="1" applyBorder="1" applyAlignment="1">
      <alignment vertical="center" wrapText="1"/>
    </xf>
    <xf numFmtId="172" fontId="25" fillId="6" borderId="69" xfId="0" applyNumberFormat="1" applyFont="1" applyFill="1" applyBorder="1" applyAlignment="1">
      <alignment horizontal="center" vertical="center"/>
    </xf>
    <xf numFmtId="172" fontId="25" fillId="4" borderId="69" xfId="0" applyNumberFormat="1" applyFont="1" applyFill="1" applyBorder="1" applyAlignment="1">
      <alignment horizontal="center" vertical="center"/>
    </xf>
    <xf numFmtId="172" fontId="25" fillId="6" borderId="70" xfId="0" applyNumberFormat="1" applyFont="1" applyFill="1" applyBorder="1" applyAlignment="1">
      <alignment horizontal="center" vertical="center"/>
    </xf>
    <xf numFmtId="172" fontId="25" fillId="3" borderId="70" xfId="0" applyNumberFormat="1" applyFont="1" applyFill="1" applyBorder="1" applyAlignment="1">
      <alignment horizontal="center" vertical="center"/>
    </xf>
    <xf numFmtId="172" fontId="0" fillId="0" borderId="0" xfId="0" applyNumberFormat="1" applyFont="1"/>
    <xf numFmtId="172" fontId="25" fillId="7" borderId="64" xfId="0" applyNumberFormat="1" applyFont="1" applyFill="1" applyBorder="1" applyAlignment="1">
      <alignment horizontal="center" vertical="center"/>
    </xf>
    <xf numFmtId="172" fontId="25" fillId="8" borderId="69" xfId="0" applyNumberFormat="1" applyFont="1" applyFill="1" applyBorder="1" applyAlignment="1">
      <alignment horizontal="center" vertical="center"/>
    </xf>
    <xf numFmtId="172" fontId="29" fillId="0" borderId="63" xfId="0" applyNumberFormat="1" applyFont="1" applyFill="1" applyBorder="1" applyAlignment="1">
      <alignment horizontal="left" vertical="center" wrapText="1"/>
    </xf>
    <xf numFmtId="172" fontId="25" fillId="0" borderId="6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172" fontId="27" fillId="6" borderId="71" xfId="0" applyNumberFormat="1" applyFont="1" applyFill="1" applyBorder="1" applyAlignment="1">
      <alignment horizontal="left" vertical="center" wrapText="1"/>
    </xf>
    <xf numFmtId="172" fontId="25" fillId="6" borderId="72" xfId="0" applyNumberFormat="1" applyFont="1" applyFill="1" applyBorder="1" applyAlignment="1">
      <alignment horizontal="center" vertical="center"/>
    </xf>
    <xf numFmtId="172" fontId="25" fillId="4" borderId="72" xfId="0" applyNumberFormat="1" applyFont="1" applyFill="1" applyBorder="1" applyAlignment="1">
      <alignment horizontal="center" vertical="center"/>
    </xf>
    <xf numFmtId="172" fontId="25" fillId="7" borderId="72" xfId="0" applyNumberFormat="1" applyFont="1" applyFill="1" applyBorder="1" applyAlignment="1">
      <alignment horizontal="center" vertical="center"/>
    </xf>
    <xf numFmtId="0" fontId="21" fillId="0" borderId="73" xfId="0" applyFont="1" applyBorder="1"/>
    <xf numFmtId="0" fontId="21" fillId="4" borderId="73" xfId="0" applyFont="1" applyFill="1" applyBorder="1" applyAlignment="1">
      <alignment horizontal="center"/>
    </xf>
    <xf numFmtId="0" fontId="21" fillId="7" borderId="73" xfId="0" applyFont="1" applyFill="1" applyBorder="1" applyAlignment="1">
      <alignment horizontal="center"/>
    </xf>
    <xf numFmtId="49" fontId="25" fillId="0" borderId="14" xfId="0" applyNumberFormat="1" applyFont="1" applyFill="1" applyBorder="1" applyAlignment="1">
      <alignment horizontal="center" vertical="center"/>
    </xf>
    <xf numFmtId="49" fontId="25" fillId="4" borderId="14" xfId="0" applyNumberFormat="1" applyFont="1" applyFill="1" applyBorder="1" applyAlignment="1">
      <alignment horizontal="center" vertical="center"/>
    </xf>
    <xf numFmtId="49" fontId="25" fillId="7" borderId="14" xfId="0" applyNumberFormat="1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49" fontId="25" fillId="7" borderId="10" xfId="0" applyNumberFormat="1" applyFont="1" applyFill="1" applyBorder="1" applyAlignment="1">
      <alignment horizontal="center" vertical="center"/>
    </xf>
    <xf numFmtId="172" fontId="27" fillId="6" borderId="63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/>
    <xf numFmtId="172" fontId="27" fillId="6" borderId="43" xfId="0" applyNumberFormat="1" applyFont="1" applyFill="1" applyBorder="1" applyAlignment="1">
      <alignment horizontal="left" vertical="center" wrapText="1"/>
    </xf>
    <xf numFmtId="172" fontId="25" fillId="6" borderId="44" xfId="0" applyNumberFormat="1" applyFont="1" applyFill="1" applyBorder="1" applyAlignment="1">
      <alignment horizontal="center" vertical="center"/>
    </xf>
    <xf numFmtId="172" fontId="25" fillId="4" borderId="44" xfId="0" applyNumberFormat="1" applyFont="1" applyFill="1" applyBorder="1" applyAlignment="1">
      <alignment horizontal="center" vertical="center"/>
    </xf>
    <xf numFmtId="172" fontId="25" fillId="7" borderId="44" xfId="0" applyNumberFormat="1" applyFont="1" applyFill="1" applyBorder="1" applyAlignment="1">
      <alignment horizontal="center" vertical="center"/>
    </xf>
    <xf numFmtId="172" fontId="27" fillId="6" borderId="43" xfId="0" applyNumberFormat="1" applyFont="1" applyFill="1" applyBorder="1" applyAlignment="1">
      <alignment vertical="center" wrapText="1"/>
    </xf>
    <xf numFmtId="0" fontId="21" fillId="0" borderId="44" xfId="0" applyFont="1" applyBorder="1"/>
    <xf numFmtId="0" fontId="21" fillId="4" borderId="44" xfId="0" applyFont="1" applyFill="1" applyBorder="1" applyAlignment="1">
      <alignment horizontal="center"/>
    </xf>
    <xf numFmtId="0" fontId="21" fillId="7" borderId="44" xfId="0" applyFont="1" applyFill="1" applyBorder="1" applyAlignment="1">
      <alignment horizontal="center"/>
    </xf>
    <xf numFmtId="172" fontId="25" fillId="4" borderId="2" xfId="0" applyNumberFormat="1" applyFont="1" applyFill="1" applyBorder="1" applyAlignment="1">
      <alignment horizontal="center" vertical="center"/>
    </xf>
    <xf numFmtId="172" fontId="25" fillId="7" borderId="2" xfId="0" applyNumberFormat="1" applyFont="1" applyFill="1" applyBorder="1" applyAlignment="1">
      <alignment horizontal="center" vertical="center"/>
    </xf>
    <xf numFmtId="172" fontId="25" fillId="4" borderId="10" xfId="0" applyNumberFormat="1" applyFont="1" applyFill="1" applyBorder="1" applyAlignment="1">
      <alignment horizontal="center" vertical="center"/>
    </xf>
    <xf numFmtId="172" fontId="25" fillId="7" borderId="10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172" fontId="25" fillId="3" borderId="47" xfId="0" applyNumberFormat="1" applyFont="1" applyFill="1" applyBorder="1" applyAlignment="1">
      <alignment horizontal="center" vertical="center"/>
    </xf>
    <xf numFmtId="172" fontId="25" fillId="3" borderId="64" xfId="0" applyNumberFormat="1" applyFont="1" applyFill="1" applyBorder="1" applyAlignment="1">
      <alignment horizontal="center" vertical="center"/>
    </xf>
    <xf numFmtId="3" fontId="21" fillId="4" borderId="0" xfId="0" applyNumberFormat="1" applyFont="1" applyFill="1" applyAlignment="1">
      <alignment horizontal="center"/>
    </xf>
    <xf numFmtId="172" fontId="0" fillId="0" borderId="0" xfId="0" applyNumberFormat="1" applyFont="1" applyAlignment="1">
      <alignment horizontal="center"/>
    </xf>
    <xf numFmtId="172" fontId="21" fillId="4" borderId="0" xfId="0" applyNumberFormat="1" applyFont="1" applyFill="1" applyAlignment="1">
      <alignment horizontal="center"/>
    </xf>
    <xf numFmtId="172" fontId="30" fillId="0" borderId="0" xfId="0" applyNumberFormat="1" applyFont="1"/>
    <xf numFmtId="172" fontId="31" fillId="0" borderId="0" xfId="0" applyNumberFormat="1" applyFont="1"/>
    <xf numFmtId="172" fontId="33" fillId="9" borderId="43" xfId="7" applyNumberFormat="1" applyFont="1" applyFill="1" applyBorder="1" applyAlignment="1">
      <alignment horizontal="center" vertical="center" wrapText="1"/>
    </xf>
    <xf numFmtId="172" fontId="33" fillId="9" borderId="44" xfId="7" applyNumberFormat="1" applyFont="1" applyFill="1" applyBorder="1" applyAlignment="1">
      <alignment horizontal="center" vertical="center" wrapText="1"/>
    </xf>
    <xf numFmtId="172" fontId="33" fillId="9" borderId="52" xfId="7" applyNumberFormat="1" applyFont="1" applyFill="1" applyBorder="1" applyAlignment="1">
      <alignment horizontal="center" vertical="center" wrapText="1"/>
    </xf>
    <xf numFmtId="172" fontId="33" fillId="0" borderId="0" xfId="0" applyNumberFormat="1" applyFont="1"/>
    <xf numFmtId="172" fontId="34" fillId="0" borderId="0" xfId="0" applyNumberFormat="1" applyFont="1"/>
    <xf numFmtId="172" fontId="33" fillId="9" borderId="71" xfId="7" applyNumberFormat="1" applyFont="1" applyFill="1" applyBorder="1" applyAlignment="1">
      <alignment horizontal="center" vertical="center" wrapText="1"/>
    </xf>
    <xf numFmtId="172" fontId="33" fillId="9" borderId="73" xfId="7" applyNumberFormat="1" applyFont="1" applyFill="1" applyBorder="1" applyAlignment="1">
      <alignment horizontal="center" vertical="center" wrapText="1"/>
    </xf>
    <xf numFmtId="172" fontId="33" fillId="9" borderId="74" xfId="7" applyNumberFormat="1" applyFont="1" applyFill="1" applyBorder="1" applyAlignment="1">
      <alignment horizontal="center" vertical="center" wrapText="1"/>
    </xf>
    <xf numFmtId="172" fontId="27" fillId="9" borderId="75" xfId="8" applyNumberFormat="1" applyFont="1" applyFill="1" applyBorder="1" applyAlignment="1">
      <alignment horizontal="center" vertical="center" wrapText="1"/>
    </xf>
    <xf numFmtId="172" fontId="27" fillId="9" borderId="76" xfId="8" applyNumberFormat="1" applyFont="1" applyFill="1" applyBorder="1" applyAlignment="1">
      <alignment horizontal="center" vertical="center" wrapText="1"/>
    </xf>
    <xf numFmtId="172" fontId="27" fillId="9" borderId="77" xfId="8" applyNumberFormat="1" applyFont="1" applyFill="1" applyBorder="1" applyAlignment="1">
      <alignment horizontal="center" vertical="center" wrapText="1"/>
    </xf>
    <xf numFmtId="172" fontId="27" fillId="9" borderId="77" xfId="1" applyNumberFormat="1" applyFont="1" applyFill="1" applyBorder="1" applyAlignment="1">
      <alignment horizontal="center" vertical="center" wrapText="1"/>
    </xf>
    <xf numFmtId="172" fontId="27" fillId="9" borderId="76" xfId="1" applyNumberFormat="1" applyFont="1" applyFill="1" applyBorder="1" applyAlignment="1">
      <alignment horizontal="center" vertical="center" wrapText="1"/>
    </xf>
    <xf numFmtId="172" fontId="27" fillId="9" borderId="78" xfId="1" applyNumberFormat="1" applyFont="1" applyFill="1" applyBorder="1" applyAlignment="1">
      <alignment horizontal="center" vertical="center" wrapText="1"/>
    </xf>
    <xf numFmtId="172" fontId="27" fillId="9" borderId="65" xfId="8" applyNumberFormat="1" applyFont="1" applyFill="1" applyBorder="1" applyAlignment="1">
      <alignment horizontal="center" vertical="center" wrapText="1"/>
    </xf>
    <xf numFmtId="172" fontId="26" fillId="0" borderId="79" xfId="0" applyNumberFormat="1" applyFont="1" applyFill="1" applyBorder="1" applyAlignment="1">
      <alignment horizontal="left" vertical="center"/>
    </xf>
    <xf numFmtId="172" fontId="26" fillId="0" borderId="80" xfId="0" applyNumberFormat="1" applyFont="1" applyFill="1" applyBorder="1" applyAlignment="1">
      <alignment horizontal="left" vertical="center"/>
    </xf>
    <xf numFmtId="172" fontId="27" fillId="0" borderId="55" xfId="0" applyNumberFormat="1" applyFont="1" applyFill="1" applyBorder="1" applyAlignment="1">
      <alignment horizontal="right" vertical="center"/>
    </xf>
    <xf numFmtId="172" fontId="27" fillId="0" borderId="80" xfId="0" applyNumberFormat="1" applyFont="1" applyFill="1" applyBorder="1" applyAlignment="1">
      <alignment horizontal="right" vertical="center"/>
    </xf>
    <xf numFmtId="172" fontId="27" fillId="0" borderId="81" xfId="0" applyNumberFormat="1" applyFont="1" applyFill="1" applyBorder="1" applyAlignment="1">
      <alignment horizontal="right" vertical="center"/>
    </xf>
    <xf numFmtId="172" fontId="27" fillId="0" borderId="46" xfId="0" applyNumberFormat="1" applyFont="1" applyFill="1" applyBorder="1" applyAlignment="1">
      <alignment horizontal="center" vertical="center"/>
    </xf>
    <xf numFmtId="172" fontId="26" fillId="0" borderId="82" xfId="0" applyNumberFormat="1" applyFont="1" applyFill="1" applyBorder="1" applyAlignment="1">
      <alignment horizontal="left" vertical="center"/>
    </xf>
    <xf numFmtId="172" fontId="26" fillId="0" borderId="4" xfId="0" applyNumberFormat="1" applyFont="1" applyFill="1" applyBorder="1" applyAlignment="1">
      <alignment horizontal="left" vertical="center"/>
    </xf>
    <xf numFmtId="172" fontId="25" fillId="0" borderId="3" xfId="0" applyNumberFormat="1" applyFont="1" applyFill="1" applyBorder="1" applyAlignment="1">
      <alignment horizontal="center" vertical="center"/>
    </xf>
    <xf numFmtId="172" fontId="27" fillId="0" borderId="3" xfId="0" applyNumberFormat="1" applyFont="1" applyFill="1" applyBorder="1" applyAlignment="1">
      <alignment horizontal="right" vertical="center"/>
    </xf>
    <xf numFmtId="172" fontId="27" fillId="0" borderId="4" xfId="0" applyNumberFormat="1" applyFont="1" applyFill="1" applyBorder="1" applyAlignment="1">
      <alignment horizontal="right" vertical="center"/>
    </xf>
    <xf numFmtId="172" fontId="27" fillId="0" borderId="5" xfId="0" applyNumberFormat="1" applyFont="1" applyFill="1" applyBorder="1" applyAlignment="1">
      <alignment horizontal="right" vertical="center"/>
    </xf>
    <xf numFmtId="172" fontId="27" fillId="0" borderId="47" xfId="0" applyNumberFormat="1" applyFont="1" applyFill="1" applyBorder="1" applyAlignment="1">
      <alignment horizontal="center" vertical="center"/>
    </xf>
    <xf numFmtId="172" fontId="26" fillId="0" borderId="82" xfId="0" applyNumberFormat="1" applyFont="1" applyFill="1" applyBorder="1" applyAlignment="1">
      <alignment vertical="center"/>
    </xf>
    <xf numFmtId="172" fontId="26" fillId="0" borderId="4" xfId="0" applyNumberFormat="1" applyFont="1" applyFill="1" applyBorder="1" applyAlignment="1">
      <alignment vertical="center"/>
    </xf>
    <xf numFmtId="172" fontId="26" fillId="0" borderId="82" xfId="0" applyNumberFormat="1" applyFont="1" applyFill="1" applyBorder="1" applyAlignment="1">
      <alignment horizontal="left" vertical="center" wrapText="1"/>
    </xf>
    <xf numFmtId="172" fontId="26" fillId="0" borderId="4" xfId="0" applyNumberFormat="1" applyFont="1" applyFill="1" applyBorder="1" applyAlignment="1">
      <alignment horizontal="left" vertical="center" wrapText="1"/>
    </xf>
    <xf numFmtId="172" fontId="26" fillId="0" borderId="71" xfId="0" applyNumberFormat="1" applyFont="1" applyFill="1" applyBorder="1" applyAlignment="1">
      <alignment horizontal="left" vertical="center" wrapText="1"/>
    </xf>
    <xf numFmtId="172" fontId="26" fillId="0" borderId="73" xfId="0" applyNumberFormat="1" applyFont="1" applyFill="1" applyBorder="1" applyAlignment="1">
      <alignment horizontal="left" vertical="center" wrapText="1"/>
    </xf>
    <xf numFmtId="172" fontId="25" fillId="0" borderId="83" xfId="0" applyNumberFormat="1" applyFont="1" applyFill="1" applyBorder="1" applyAlignment="1">
      <alignment horizontal="center" vertical="center"/>
    </xf>
    <xf numFmtId="172" fontId="27" fillId="0" borderId="83" xfId="0" applyNumberFormat="1" applyFont="1" applyFill="1" applyBorder="1" applyAlignment="1">
      <alignment horizontal="right" vertical="center"/>
    </xf>
    <xf numFmtId="172" fontId="27" fillId="0" borderId="73" xfId="0" applyNumberFormat="1" applyFont="1" applyFill="1" applyBorder="1" applyAlignment="1">
      <alignment horizontal="right" vertical="center"/>
    </xf>
    <xf numFmtId="172" fontId="27" fillId="0" borderId="84" xfId="0" applyNumberFormat="1" applyFont="1" applyFill="1" applyBorder="1" applyAlignment="1">
      <alignment horizontal="right" vertical="center"/>
    </xf>
    <xf numFmtId="172" fontId="27" fillId="0" borderId="85" xfId="0" applyNumberFormat="1" applyFont="1" applyFill="1" applyBorder="1" applyAlignment="1">
      <alignment horizontal="center" vertical="center"/>
    </xf>
    <xf numFmtId="172" fontId="25" fillId="6" borderId="75" xfId="0" applyNumberFormat="1" applyFont="1" applyFill="1" applyBorder="1" applyAlignment="1">
      <alignment horizontal="center" vertical="center" wrapText="1"/>
    </xf>
    <xf numFmtId="172" fontId="25" fillId="6" borderId="76" xfId="0" applyNumberFormat="1" applyFont="1" applyFill="1" applyBorder="1" applyAlignment="1">
      <alignment horizontal="center" vertical="center" wrapText="1"/>
    </xf>
    <xf numFmtId="172" fontId="25" fillId="6" borderId="78" xfId="0" applyNumberFormat="1" applyFont="1" applyFill="1" applyBorder="1" applyAlignment="1">
      <alignment horizontal="center" vertical="center" wrapText="1"/>
    </xf>
    <xf numFmtId="172" fontId="27" fillId="6" borderId="76" xfId="0" applyNumberFormat="1" applyFont="1" applyFill="1" applyBorder="1" applyAlignment="1">
      <alignment horizontal="right" vertical="center"/>
    </xf>
    <xf numFmtId="172" fontId="27" fillId="6" borderId="65" xfId="0" applyNumberFormat="1" applyFont="1" applyFill="1" applyBorder="1" applyAlignment="1">
      <alignment horizontal="center" vertical="center"/>
    </xf>
    <xf numFmtId="172" fontId="26" fillId="0" borderId="79" xfId="0" applyNumberFormat="1" applyFont="1" applyFill="1" applyBorder="1" applyAlignment="1">
      <alignment horizontal="left" vertical="center" wrapText="1"/>
    </xf>
    <xf numFmtId="172" fontId="26" fillId="0" borderId="80" xfId="0" applyNumberFormat="1" applyFont="1" applyFill="1" applyBorder="1" applyAlignment="1">
      <alignment horizontal="left" vertical="center" wrapText="1"/>
    </xf>
    <xf numFmtId="172" fontId="26" fillId="0" borderId="81" xfId="0" applyNumberFormat="1" applyFont="1" applyFill="1" applyBorder="1" applyAlignment="1">
      <alignment horizontal="left" vertical="center" wrapText="1"/>
    </xf>
    <xf numFmtId="49" fontId="27" fillId="0" borderId="46" xfId="0" applyNumberFormat="1" applyFont="1" applyFill="1" applyBorder="1" applyAlignment="1">
      <alignment horizontal="center" vertical="center"/>
    </xf>
    <xf numFmtId="172" fontId="26" fillId="0" borderId="5" xfId="0" applyNumberFormat="1" applyFont="1" applyFill="1" applyBorder="1" applyAlignment="1">
      <alignment horizontal="left" vertical="center" wrapText="1"/>
    </xf>
    <xf numFmtId="49" fontId="27" fillId="0" borderId="47" xfId="0" applyNumberFormat="1" applyFont="1" applyFill="1" applyBorder="1" applyAlignment="1">
      <alignment horizontal="center" vertical="center"/>
    </xf>
    <xf numFmtId="172" fontId="26" fillId="0" borderId="82" xfId="0" applyNumberFormat="1" applyFont="1" applyFill="1" applyBorder="1" applyAlignment="1">
      <alignment vertical="center" wrapText="1"/>
    </xf>
    <xf numFmtId="172" fontId="26" fillId="0" borderId="4" xfId="0" applyNumberFormat="1" applyFont="1" applyFill="1" applyBorder="1" applyAlignment="1">
      <alignment vertical="center" wrapText="1"/>
    </xf>
    <xf numFmtId="172" fontId="26" fillId="0" borderId="5" xfId="0" applyNumberFormat="1" applyFont="1" applyFill="1" applyBorder="1" applyAlignment="1">
      <alignment vertical="center" wrapText="1"/>
    </xf>
    <xf numFmtId="172" fontId="26" fillId="0" borderId="86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49" fontId="27" fillId="0" borderId="87" xfId="0" applyNumberFormat="1" applyFont="1" applyFill="1" applyBorder="1" applyAlignment="1">
      <alignment horizontal="center" vertical="center"/>
    </xf>
    <xf numFmtId="172" fontId="27" fillId="10" borderId="1" xfId="0" applyNumberFormat="1" applyFont="1" applyFill="1" applyBorder="1" applyAlignment="1">
      <alignment horizontal="right" vertical="center"/>
    </xf>
    <xf numFmtId="172" fontId="26" fillId="0" borderId="86" xfId="0" applyNumberFormat="1" applyFont="1" applyFill="1" applyBorder="1" applyAlignment="1">
      <alignment horizontal="left" vertical="center" wrapText="1"/>
    </xf>
    <xf numFmtId="172" fontId="26" fillId="0" borderId="1" xfId="0" applyNumberFormat="1" applyFont="1" applyFill="1" applyBorder="1" applyAlignment="1">
      <alignment horizontal="left" vertical="center" wrapText="1"/>
    </xf>
    <xf numFmtId="172" fontId="27" fillId="0" borderId="1" xfId="0" applyNumberFormat="1" applyFont="1" applyFill="1" applyBorder="1" applyAlignment="1">
      <alignment horizontal="right" vertical="center"/>
    </xf>
    <xf numFmtId="172" fontId="25" fillId="0" borderId="72" xfId="0" applyNumberFormat="1" applyFont="1" applyFill="1" applyBorder="1" applyAlignment="1">
      <alignment horizontal="center" vertical="center"/>
    </xf>
    <xf numFmtId="49" fontId="27" fillId="0" borderId="85" xfId="0" applyNumberFormat="1" applyFont="1" applyFill="1" applyBorder="1" applyAlignment="1">
      <alignment horizontal="center" vertical="center"/>
    </xf>
    <xf numFmtId="172" fontId="27" fillId="6" borderId="44" xfId="0" applyNumberFormat="1" applyFont="1" applyFill="1" applyBorder="1" applyAlignment="1">
      <alignment horizontal="right" vertical="center"/>
    </xf>
    <xf numFmtId="172" fontId="26" fillId="0" borderId="43" xfId="0" applyNumberFormat="1" applyFont="1" applyFill="1" applyBorder="1" applyAlignment="1">
      <alignment horizontal="left" vertical="center" wrapText="1"/>
    </xf>
    <xf numFmtId="172" fontId="26" fillId="0" borderId="44" xfId="0" applyNumberFormat="1" applyFont="1" applyFill="1" applyBorder="1" applyAlignment="1">
      <alignment horizontal="left" vertical="center" wrapText="1"/>
    </xf>
    <xf numFmtId="172" fontId="25" fillId="0" borderId="69" xfId="0" applyNumberFormat="1" applyFont="1" applyFill="1" applyBorder="1" applyAlignment="1">
      <alignment horizontal="center" vertical="center"/>
    </xf>
    <xf numFmtId="172" fontId="27" fillId="0" borderId="44" xfId="0" applyNumberFormat="1" applyFont="1" applyFill="1" applyBorder="1" applyAlignment="1">
      <alignment horizontal="right" vertical="center"/>
    </xf>
    <xf numFmtId="172" fontId="27" fillId="0" borderId="70" xfId="0" applyNumberFormat="1" applyFont="1" applyFill="1" applyBorder="1" applyAlignment="1">
      <alignment horizontal="center" vertical="center"/>
    </xf>
    <xf numFmtId="172" fontId="25" fillId="6" borderId="75" xfId="0" applyNumberFormat="1" applyFont="1" applyFill="1" applyBorder="1" applyAlignment="1">
      <alignment horizontal="left" vertical="center" wrapText="1"/>
    </xf>
    <xf numFmtId="172" fontId="25" fillId="6" borderId="76" xfId="0" applyNumberFormat="1" applyFont="1" applyFill="1" applyBorder="1" applyAlignment="1">
      <alignment horizontal="left" vertical="center" wrapText="1"/>
    </xf>
    <xf numFmtId="172" fontId="25" fillId="6" borderId="78" xfId="0" applyNumberFormat="1" applyFont="1" applyFill="1" applyBorder="1" applyAlignment="1">
      <alignment horizontal="left" vertical="center" wrapText="1"/>
    </xf>
    <xf numFmtId="172" fontId="27" fillId="6" borderId="77" xfId="0" applyNumberFormat="1" applyFont="1" applyFill="1" applyBorder="1" applyAlignment="1">
      <alignment horizontal="right" vertical="center" wrapText="1"/>
    </xf>
    <xf numFmtId="0" fontId="27" fillId="6" borderId="76" xfId="0" applyFont="1" applyFill="1" applyBorder="1" applyAlignment="1">
      <alignment horizontal="right" vertical="center" wrapText="1"/>
    </xf>
    <xf numFmtId="0" fontId="27" fillId="6" borderId="78" xfId="0" applyFont="1" applyFill="1" applyBorder="1" applyAlignment="1">
      <alignment horizontal="right" vertical="center" wrapText="1"/>
    </xf>
    <xf numFmtId="172" fontId="26" fillId="0" borderId="13" xfId="0" applyNumberFormat="1" applyFont="1" applyFill="1" applyBorder="1" applyAlignment="1">
      <alignment horizontal="left" vertical="center" wrapText="1"/>
    </xf>
    <xf numFmtId="172" fontId="26" fillId="0" borderId="84" xfId="0" applyNumberFormat="1" applyFont="1" applyFill="1" applyBorder="1" applyAlignment="1">
      <alignment horizontal="left" vertical="center" wrapText="1"/>
    </xf>
    <xf numFmtId="172" fontId="25" fillId="9" borderId="75" xfId="0" applyNumberFormat="1" applyFont="1" applyFill="1" applyBorder="1" applyAlignment="1">
      <alignment horizontal="center" vertical="center"/>
    </xf>
    <xf numFmtId="172" fontId="25" fillId="9" borderId="76" xfId="0" applyNumberFormat="1" applyFont="1" applyFill="1" applyBorder="1" applyAlignment="1">
      <alignment horizontal="center" vertical="center"/>
    </xf>
    <xf numFmtId="172" fontId="25" fillId="9" borderId="88" xfId="0" applyNumberFormat="1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2" xfId="0" applyFill="1" applyBorder="1"/>
    <xf numFmtId="42" fontId="0" fillId="3" borderId="14" xfId="5" applyFont="1" applyFill="1" applyBorder="1"/>
    <xf numFmtId="0" fontId="0" fillId="3" borderId="2" xfId="0" applyFill="1" applyBorder="1" applyAlignment="1">
      <alignment horizontal="center"/>
    </xf>
  </cellXfs>
  <cellStyles count="9">
    <cellStyle name="Hipervínculo" xfId="7" builtinId="8"/>
    <cellStyle name="Millares 2" xfId="4"/>
    <cellStyle name="Millares 3" xfId="8"/>
    <cellStyle name="Millares_Hoja1 2 2" xfId="2"/>
    <cellStyle name="Moneda [0]" xfId="5" builtinId="7"/>
    <cellStyle name="Normal" xfId="0" builtinId="0"/>
    <cellStyle name="Normal 2" xfId="3"/>
    <cellStyle name="Normal 2 3" xfId="1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BBB05830-E803-41E0-A9B4-E7A60872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3" name="Imagen 2" descr="cid:image001.png@01CFC04E.66BC1CE0">
          <a:extLst>
            <a:ext uri="{FF2B5EF4-FFF2-40B4-BE49-F238E27FC236}">
              <a16:creationId xmlns:a16="http://schemas.microsoft.com/office/drawing/2014/main" id="{19D5DC32-BFC1-4256-8E30-220A7276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4" name="Imagen 3" descr="cid:image001.png@01CFC04E.66BC1CE0">
          <a:extLst>
            <a:ext uri="{FF2B5EF4-FFF2-40B4-BE49-F238E27FC236}">
              <a16:creationId xmlns:a16="http://schemas.microsoft.com/office/drawing/2014/main" id="{B4C18219-0A49-42A0-AD9C-56215BD9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3/EJERCICIO%202%2014%20D%20N&#176;%203%20%2018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RENTA%20AT%202023/GRUPO%20RIOS/RIOS%20HNOS/DDJJ%201887%20AT2023%20RIOS%20HERMANOS%20VERSION%202%2024032023%20RL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ACTUALIZACION%20CONTABLE%20OCTUBRE%202023/modulo%20cinco/desarrollo%20ejercicio%2029112023%20versi&#243;n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"/>
      <sheetName val="BALANCE 2021  FINAL"/>
      <sheetName val="BALANCE 2022 "/>
      <sheetName val="retiros o dividendos ejercicio"/>
      <sheetName val="BASE IMPONIBLE"/>
      <sheetName val="R19 14 D3"/>
      <sheetName val="R18 14 D3"/>
      <sheetName val="RREE "/>
      <sheetName val="ddjj1909"/>
      <sheetName val="ddjj 1948 inicial"/>
      <sheetName val="ddjj 1948 final"/>
      <sheetName val="ANVERSO"/>
      <sheetName val="F22 AT2023 "/>
      <sheetName val=" R6  14 A-D3-D8"/>
      <sheetName val="R17 14 D3"/>
      <sheetName val="R20 14 D3"/>
      <sheetName val="R21 14 D3"/>
    </sheetNames>
    <sheetDataSet>
      <sheetData sheetId="0"/>
      <sheetData sheetId="1"/>
      <sheetData sheetId="2"/>
      <sheetData sheetId="3"/>
      <sheetData sheetId="4">
        <row r="30">
          <cell r="G30">
            <v>0</v>
          </cell>
        </row>
        <row r="31">
          <cell r="G31">
            <v>0</v>
          </cell>
        </row>
        <row r="38">
          <cell r="G3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 REMUNERACIONES"/>
      <sheetName val="LIBRO AÑO 2022"/>
      <sheetName val="certificado sueldo"/>
      <sheetName val="formulario 1887"/>
      <sheetName val="F1887"/>
    </sheetNames>
    <sheetDataSet>
      <sheetData sheetId="0"/>
      <sheetData sheetId="1">
        <row r="3">
          <cell r="L3">
            <v>1563454</v>
          </cell>
          <cell r="O3">
            <v>100000</v>
          </cell>
          <cell r="P3">
            <v>100000</v>
          </cell>
          <cell r="S3">
            <v>176201</v>
          </cell>
          <cell r="T3">
            <v>114863</v>
          </cell>
          <cell r="U3">
            <v>9381</v>
          </cell>
          <cell r="V3">
            <v>20886</v>
          </cell>
        </row>
        <row r="4">
          <cell r="L4">
            <v>1558454</v>
          </cell>
          <cell r="O4">
            <v>100000</v>
          </cell>
          <cell r="P4">
            <v>100000</v>
          </cell>
          <cell r="S4">
            <v>175638</v>
          </cell>
          <cell r="T4">
            <v>116064</v>
          </cell>
          <cell r="U4">
            <v>9351</v>
          </cell>
          <cell r="V4">
            <v>20662</v>
          </cell>
        </row>
        <row r="5">
          <cell r="L5">
            <v>1375042</v>
          </cell>
          <cell r="O5">
            <v>100000</v>
          </cell>
          <cell r="P5">
            <v>100000</v>
          </cell>
          <cell r="S5">
            <v>154967</v>
          </cell>
          <cell r="T5">
            <v>116758</v>
          </cell>
          <cell r="U5">
            <v>8250</v>
          </cell>
          <cell r="V5">
            <v>13723</v>
          </cell>
        </row>
        <row r="6">
          <cell r="L6">
            <v>1373542</v>
          </cell>
          <cell r="O6">
            <v>100000</v>
          </cell>
          <cell r="P6">
            <v>100000</v>
          </cell>
          <cell r="S6">
            <v>154798</v>
          </cell>
          <cell r="T6">
            <v>118409</v>
          </cell>
          <cell r="U6">
            <v>8241</v>
          </cell>
          <cell r="V6">
            <v>13032</v>
          </cell>
        </row>
        <row r="7">
          <cell r="L7">
            <v>1438662</v>
          </cell>
          <cell r="O7">
            <v>100000</v>
          </cell>
          <cell r="P7">
            <v>100000</v>
          </cell>
          <cell r="S7">
            <v>162137</v>
          </cell>
          <cell r="T7">
            <v>133496</v>
          </cell>
          <cell r="U7">
            <v>8632</v>
          </cell>
          <cell r="V7">
            <v>14724</v>
          </cell>
        </row>
        <row r="8">
          <cell r="L8">
            <v>1396995</v>
          </cell>
          <cell r="O8">
            <v>100000</v>
          </cell>
          <cell r="P8">
            <v>100000</v>
          </cell>
          <cell r="S8">
            <v>157441</v>
          </cell>
          <cell r="T8">
            <v>117624</v>
          </cell>
          <cell r="U8">
            <v>8382</v>
          </cell>
          <cell r="V8">
            <v>13461</v>
          </cell>
        </row>
        <row r="9">
          <cell r="L9">
            <v>1689995</v>
          </cell>
          <cell r="O9">
            <v>100000</v>
          </cell>
          <cell r="P9">
            <v>100000</v>
          </cell>
          <cell r="S9">
            <v>190462</v>
          </cell>
          <cell r="T9">
            <v>118798</v>
          </cell>
          <cell r="U9">
            <v>10140</v>
          </cell>
          <cell r="V9">
            <v>23087</v>
          </cell>
        </row>
        <row r="10">
          <cell r="L10">
            <v>1382911</v>
          </cell>
          <cell r="O10">
            <v>100000</v>
          </cell>
          <cell r="P10">
            <v>100000</v>
          </cell>
          <cell r="S10">
            <v>155854</v>
          </cell>
          <cell r="T10">
            <v>120289</v>
          </cell>
          <cell r="U10">
            <v>8297</v>
          </cell>
          <cell r="V10">
            <v>11758</v>
          </cell>
        </row>
        <row r="11">
          <cell r="L11">
            <v>1526558</v>
          </cell>
          <cell r="O11">
            <v>100000</v>
          </cell>
          <cell r="P11">
            <v>100000</v>
          </cell>
          <cell r="Q11">
            <v>0</v>
          </cell>
          <cell r="S11">
            <v>172043</v>
          </cell>
          <cell r="T11">
            <v>114936</v>
          </cell>
          <cell r="U11">
            <v>9159</v>
          </cell>
          <cell r="V11">
            <v>16649</v>
          </cell>
        </row>
        <row r="12">
          <cell r="L12">
            <v>1513578</v>
          </cell>
          <cell r="O12">
            <v>100000</v>
          </cell>
          <cell r="P12">
            <v>100000</v>
          </cell>
          <cell r="Q12">
            <v>0</v>
          </cell>
          <cell r="S12">
            <v>170580</v>
          </cell>
          <cell r="T12">
            <v>140131</v>
          </cell>
          <cell r="U12">
            <v>9081</v>
          </cell>
          <cell r="V12">
            <v>14891</v>
          </cell>
        </row>
        <row r="13">
          <cell r="L13">
            <v>1580427</v>
          </cell>
          <cell r="O13">
            <v>100000</v>
          </cell>
          <cell r="P13">
            <v>100000</v>
          </cell>
          <cell r="Q13">
            <v>0</v>
          </cell>
          <cell r="S13">
            <v>178114</v>
          </cell>
          <cell r="T13">
            <v>117316</v>
          </cell>
          <cell r="U13">
            <v>9483</v>
          </cell>
          <cell r="V13">
            <v>17996</v>
          </cell>
        </row>
        <row r="14">
          <cell r="L14">
            <v>1787206</v>
          </cell>
          <cell r="O14">
            <v>100000</v>
          </cell>
          <cell r="P14">
            <v>100000</v>
          </cell>
          <cell r="Q14">
            <v>0</v>
          </cell>
          <cell r="S14">
            <v>201479</v>
          </cell>
          <cell r="T14">
            <v>142199</v>
          </cell>
          <cell r="U14">
            <v>10726</v>
          </cell>
          <cell r="V14">
            <v>24309</v>
          </cell>
        </row>
        <row r="15">
          <cell r="L15">
            <v>546275</v>
          </cell>
          <cell r="Q15">
            <v>0</v>
          </cell>
          <cell r="S15">
            <v>62548</v>
          </cell>
          <cell r="T15">
            <v>38239</v>
          </cell>
          <cell r="U15"/>
        </row>
        <row r="16">
          <cell r="L16">
            <v>510909</v>
          </cell>
          <cell r="Q16">
            <v>0</v>
          </cell>
          <cell r="S16">
            <v>58499</v>
          </cell>
          <cell r="T16">
            <v>35764</v>
          </cell>
          <cell r="U16"/>
        </row>
        <row r="17">
          <cell r="L17">
            <v>510909</v>
          </cell>
          <cell r="Q17">
            <v>0</v>
          </cell>
          <cell r="S17">
            <v>58499</v>
          </cell>
          <cell r="T17">
            <v>35764</v>
          </cell>
          <cell r="U17"/>
        </row>
        <row r="18">
          <cell r="L18">
            <v>575734</v>
          </cell>
          <cell r="Q18">
            <v>0</v>
          </cell>
          <cell r="S18">
            <v>65921</v>
          </cell>
          <cell r="T18">
            <v>40301</v>
          </cell>
          <cell r="U18"/>
        </row>
        <row r="19">
          <cell r="L19">
            <v>581641</v>
          </cell>
          <cell r="Q19">
            <v>0</v>
          </cell>
          <cell r="S19">
            <v>66598</v>
          </cell>
          <cell r="T19">
            <v>40715</v>
          </cell>
          <cell r="U19"/>
        </row>
        <row r="20">
          <cell r="L20">
            <v>581641</v>
          </cell>
          <cell r="Q20">
            <v>0</v>
          </cell>
          <cell r="S20">
            <v>66598</v>
          </cell>
          <cell r="T20">
            <v>40715</v>
          </cell>
          <cell r="U20"/>
        </row>
        <row r="21">
          <cell r="L21">
            <v>546275</v>
          </cell>
          <cell r="Q21">
            <v>0</v>
          </cell>
          <cell r="S21">
            <v>62548</v>
          </cell>
          <cell r="T21">
            <v>38239</v>
          </cell>
          <cell r="U21"/>
        </row>
        <row r="22">
          <cell r="L22">
            <v>546275</v>
          </cell>
          <cell r="S22">
            <v>62548</v>
          </cell>
          <cell r="T22">
            <v>38239</v>
          </cell>
          <cell r="U22"/>
        </row>
        <row r="23">
          <cell r="L23">
            <v>711290</v>
          </cell>
          <cell r="S23">
            <v>81443</v>
          </cell>
          <cell r="T23">
            <v>49790</v>
          </cell>
          <cell r="U23"/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  <row r="27">
          <cell r="L27">
            <v>632814</v>
          </cell>
          <cell r="S27">
            <v>66952</v>
          </cell>
          <cell r="T27">
            <v>44297</v>
          </cell>
          <cell r="U27">
            <v>3797</v>
          </cell>
        </row>
        <row r="28">
          <cell r="L28">
            <v>598689</v>
          </cell>
          <cell r="S28">
            <v>66952</v>
          </cell>
          <cell r="T28">
            <v>44297</v>
          </cell>
          <cell r="U28">
            <v>3797</v>
          </cell>
        </row>
        <row r="29">
          <cell r="L29">
            <v>598689</v>
          </cell>
          <cell r="S29">
            <v>63341</v>
          </cell>
          <cell r="T29">
            <v>41908</v>
          </cell>
          <cell r="U29">
            <v>3592</v>
          </cell>
        </row>
        <row r="31">
          <cell r="L31">
            <v>673783</v>
          </cell>
          <cell r="S31">
            <v>71286</v>
          </cell>
          <cell r="T31">
            <v>47165</v>
          </cell>
          <cell r="U31">
            <v>4043</v>
          </cell>
        </row>
        <row r="32">
          <cell r="L32">
            <v>673783</v>
          </cell>
          <cell r="S32">
            <v>71286</v>
          </cell>
          <cell r="T32">
            <v>47165</v>
          </cell>
          <cell r="U32">
            <v>4043</v>
          </cell>
        </row>
        <row r="33">
          <cell r="L33">
            <v>632814</v>
          </cell>
          <cell r="S33">
            <v>66952</v>
          </cell>
          <cell r="T33">
            <v>44297</v>
          </cell>
          <cell r="U33">
            <v>3797</v>
          </cell>
        </row>
        <row r="34">
          <cell r="L34">
            <v>591845</v>
          </cell>
          <cell r="S34">
            <v>62617</v>
          </cell>
          <cell r="T34">
            <v>41429</v>
          </cell>
          <cell r="U34">
            <v>3551</v>
          </cell>
        </row>
        <row r="35">
          <cell r="L35">
            <v>770606</v>
          </cell>
          <cell r="S35">
            <v>81530</v>
          </cell>
          <cell r="T35">
            <v>53942</v>
          </cell>
          <cell r="U35">
            <v>4624</v>
          </cell>
        </row>
        <row r="36">
          <cell r="L36">
            <v>673783</v>
          </cell>
          <cell r="S36">
            <v>71286</v>
          </cell>
          <cell r="T36">
            <v>47165</v>
          </cell>
          <cell r="U36">
            <v>4043</v>
          </cell>
        </row>
        <row r="37">
          <cell r="L37">
            <v>727465</v>
          </cell>
          <cell r="S37">
            <v>76966</v>
          </cell>
          <cell r="T37">
            <v>50923</v>
          </cell>
          <cell r="U37">
            <v>4365</v>
          </cell>
        </row>
        <row r="38">
          <cell r="L38">
            <v>832798</v>
          </cell>
          <cell r="S38">
            <v>88110</v>
          </cell>
          <cell r="T38">
            <v>58296</v>
          </cell>
          <cell r="U38">
            <v>4997</v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2 inicial los andes "/>
      <sheetName val="activo no corriente 2022 "/>
      <sheetName val="provision vacaciones dos años "/>
      <sheetName val="balance 2022 antes impto andes"/>
      <sheetName val="ajustes 2022"/>
      <sheetName val="base imponible  at 2023 los and"/>
      <sheetName val="impuesto diferido"/>
      <sheetName val="balance 2022 final los andes "/>
      <sheetName val="R19 los andes at 2023"/>
      <sheetName val="R18 los andes at 2023"/>
      <sheetName val="rtre los andes at 2023"/>
      <sheetName val="leasing 2023"/>
      <sheetName val="balance YYY SAC 2023 "/>
      <sheetName val="fusion impropia 2023"/>
      <sheetName val="activo no corriente 2023"/>
      <sheetName val="Libro Diario 2023 "/>
      <sheetName val="cuentas T 2023"/>
      <sheetName val="balance 2023 los andes antes im"/>
      <sheetName val="base imponible  at 2024"/>
      <sheetName val="impuesto diferido 2023"/>
      <sheetName val="balance 2023 los andes final "/>
      <sheetName val="ESF Clasif 2023"/>
      <sheetName val="ER Funcion 2023"/>
      <sheetName val="Flujo Caja 2023"/>
      <sheetName val="Estado Cambio Patrimonial "/>
      <sheetName val="base imponible YYY SAC At 2024"/>
      <sheetName val="rtre YYY SAC AT 2024"/>
      <sheetName val="R19 los andes at 2024"/>
      <sheetName val="R18 los andes at 2024"/>
      <sheetName val="rtre los andes at 2024"/>
      <sheetName val="rtre los andes AT 2025"/>
    </sheetNames>
    <sheetDataSet>
      <sheetData sheetId="0"/>
      <sheetData sheetId="1"/>
      <sheetData sheetId="2"/>
      <sheetData sheetId="3">
        <row r="49">
          <cell r="B49" t="str">
            <v xml:space="preserve">GASTO POR VACACIONES DEL PERSONAL </v>
          </cell>
        </row>
        <row r="57">
          <cell r="B57" t="str">
            <v>GASTOS DEUDORES INCOBRABLES</v>
          </cell>
        </row>
      </sheetData>
      <sheetData sheetId="4"/>
      <sheetData sheetId="5"/>
      <sheetData sheetId="6"/>
      <sheetData sheetId="7">
        <row r="5">
          <cell r="G5">
            <v>7400000</v>
          </cell>
        </row>
        <row r="6">
          <cell r="G6">
            <v>52444800</v>
          </cell>
        </row>
        <row r="8">
          <cell r="G8">
            <v>50000000</v>
          </cell>
        </row>
        <row r="9">
          <cell r="G9">
            <v>143000000</v>
          </cell>
        </row>
        <row r="10">
          <cell r="H10">
            <v>7865000</v>
          </cell>
        </row>
        <row r="11">
          <cell r="G11">
            <v>375000000</v>
          </cell>
        </row>
        <row r="14">
          <cell r="G14">
            <v>10036000</v>
          </cell>
        </row>
        <row r="15">
          <cell r="G15">
            <v>11685000</v>
          </cell>
        </row>
        <row r="16">
          <cell r="G16">
            <v>0</v>
          </cell>
        </row>
        <row r="17">
          <cell r="G17">
            <v>16000000</v>
          </cell>
        </row>
        <row r="19">
          <cell r="G19">
            <v>317260000</v>
          </cell>
          <cell r="H19">
            <v>0</v>
          </cell>
        </row>
        <row r="20">
          <cell r="G20">
            <v>50000000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G22">
            <v>7000000</v>
          </cell>
          <cell r="H22">
            <v>0</v>
          </cell>
        </row>
        <row r="23">
          <cell r="H23">
            <v>0</v>
          </cell>
        </row>
        <row r="25">
          <cell r="H25">
            <v>0</v>
          </cell>
        </row>
        <row r="26">
          <cell r="G26">
            <v>0</v>
          </cell>
          <cell r="H26">
            <v>0</v>
          </cell>
        </row>
        <row r="27">
          <cell r="H27">
            <v>5166666.666666666</v>
          </cell>
        </row>
        <row r="28">
          <cell r="G28">
            <v>0</v>
          </cell>
        </row>
        <row r="29">
          <cell r="H29">
            <v>0</v>
          </cell>
        </row>
        <row r="30">
          <cell r="H30">
            <v>42800000</v>
          </cell>
        </row>
        <row r="32">
          <cell r="H32">
            <v>16188000</v>
          </cell>
        </row>
        <row r="33">
          <cell r="H33">
            <v>187410000</v>
          </cell>
        </row>
        <row r="34">
          <cell r="G34">
            <v>0</v>
          </cell>
          <cell r="H34">
            <v>15478000</v>
          </cell>
        </row>
        <row r="39">
          <cell r="G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0</v>
          </cell>
        </row>
        <row r="42">
          <cell r="H42">
            <v>2556000</v>
          </cell>
        </row>
        <row r="43">
          <cell r="H43">
            <v>950499.99999999988</v>
          </cell>
        </row>
        <row r="44">
          <cell r="G44">
            <v>0</v>
          </cell>
          <cell r="H44">
            <v>0</v>
          </cell>
        </row>
        <row r="45">
          <cell r="G45">
            <v>0</v>
          </cell>
          <cell r="H45">
            <v>200000000</v>
          </cell>
        </row>
        <row r="48">
          <cell r="G48">
            <v>0</v>
          </cell>
          <cell r="H48">
            <v>112500000</v>
          </cell>
        </row>
        <row r="76">
          <cell r="H76">
            <v>573166833.33333337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5">
          <cell r="D45">
            <v>573166833.33333325</v>
          </cell>
        </row>
        <row r="46">
          <cell r="E46">
            <v>573166833.33333325</v>
          </cell>
        </row>
        <row r="49">
          <cell r="D49">
            <v>5800000</v>
          </cell>
        </row>
        <row r="50">
          <cell r="D50">
            <v>1102000</v>
          </cell>
        </row>
        <row r="51">
          <cell r="E51">
            <v>6902000</v>
          </cell>
        </row>
        <row r="53">
          <cell r="D53">
            <v>16188000</v>
          </cell>
        </row>
        <row r="54">
          <cell r="D54">
            <v>2556000</v>
          </cell>
        </row>
        <row r="56">
          <cell r="E56">
            <v>11685000</v>
          </cell>
        </row>
        <row r="57">
          <cell r="E57">
            <v>7169000</v>
          </cell>
        </row>
        <row r="61">
          <cell r="E61">
            <v>634800</v>
          </cell>
        </row>
        <row r="64">
          <cell r="D64">
            <v>416500000</v>
          </cell>
        </row>
        <row r="65">
          <cell r="D65">
            <v>178500000</v>
          </cell>
        </row>
        <row r="66">
          <cell r="E66">
            <v>500000000</v>
          </cell>
        </row>
        <row r="67">
          <cell r="E67">
            <v>95000000</v>
          </cell>
        </row>
        <row r="68">
          <cell r="D68">
            <v>250000000</v>
          </cell>
        </row>
        <row r="69">
          <cell r="E69">
            <v>250000000</v>
          </cell>
        </row>
        <row r="71">
          <cell r="D71">
            <v>95000000</v>
          </cell>
        </row>
        <row r="72">
          <cell r="D72">
            <v>5000000</v>
          </cell>
        </row>
        <row r="73">
          <cell r="E73">
            <v>1102000</v>
          </cell>
        </row>
        <row r="74">
          <cell r="E74">
            <v>98898000</v>
          </cell>
        </row>
        <row r="77">
          <cell r="D77">
            <v>100000000</v>
          </cell>
        </row>
        <row r="78">
          <cell r="E78">
            <v>100000000</v>
          </cell>
        </row>
        <row r="80">
          <cell r="D80">
            <v>23267787.557504077</v>
          </cell>
        </row>
        <row r="81">
          <cell r="D81">
            <v>11732212.442495923</v>
          </cell>
        </row>
        <row r="82">
          <cell r="D82">
            <v>6650000</v>
          </cell>
        </row>
        <row r="83">
          <cell r="E83">
            <v>41650000</v>
          </cell>
        </row>
        <row r="86">
          <cell r="D86">
            <v>684000</v>
          </cell>
        </row>
        <row r="87">
          <cell r="E87">
            <v>4284000</v>
          </cell>
        </row>
        <row r="89">
          <cell r="D89">
            <v>2400000</v>
          </cell>
        </row>
        <row r="92">
          <cell r="D92">
            <v>10236720</v>
          </cell>
        </row>
        <row r="93">
          <cell r="E93">
            <v>10036000</v>
          </cell>
        </row>
        <row r="94">
          <cell r="E94">
            <v>200720</v>
          </cell>
        </row>
        <row r="96">
          <cell r="D96">
            <v>171950049.99999997</v>
          </cell>
        </row>
        <row r="97">
          <cell r="E97">
            <v>171950049.99999997</v>
          </cell>
        </row>
        <row r="99">
          <cell r="D99">
            <v>25000000</v>
          </cell>
        </row>
        <row r="102">
          <cell r="D102">
            <v>22000000</v>
          </cell>
        </row>
        <row r="103">
          <cell r="D103">
            <v>4180000</v>
          </cell>
        </row>
        <row r="104">
          <cell r="E104">
            <v>26180000</v>
          </cell>
        </row>
        <row r="106">
          <cell r="D106">
            <v>280000</v>
          </cell>
        </row>
        <row r="107">
          <cell r="D107">
            <v>53200</v>
          </cell>
        </row>
        <row r="108">
          <cell r="E108">
            <v>333200</v>
          </cell>
        </row>
        <row r="110">
          <cell r="D110">
            <v>249900000</v>
          </cell>
        </row>
        <row r="111">
          <cell r="E111">
            <v>249900000</v>
          </cell>
        </row>
        <row r="113">
          <cell r="D113">
            <v>5000000</v>
          </cell>
        </row>
        <row r="114">
          <cell r="E114">
            <v>5000000</v>
          </cell>
        </row>
        <row r="116">
          <cell r="D116">
            <v>1750000</v>
          </cell>
        </row>
        <row r="117">
          <cell r="D117">
            <v>232750</v>
          </cell>
        </row>
        <row r="118">
          <cell r="E118">
            <v>1982750</v>
          </cell>
        </row>
        <row r="120">
          <cell r="D120">
            <v>1145833.3333333333</v>
          </cell>
        </row>
        <row r="121">
          <cell r="E121">
            <v>1145833.3333333333</v>
          </cell>
        </row>
        <row r="123">
          <cell r="D123">
            <v>21420000</v>
          </cell>
        </row>
        <row r="124">
          <cell r="E124">
            <v>18000000</v>
          </cell>
        </row>
        <row r="125">
          <cell r="E125">
            <v>3420000</v>
          </cell>
        </row>
        <row r="128">
          <cell r="D128">
            <v>1145833.3333333333</v>
          </cell>
        </row>
        <row r="129">
          <cell r="D129">
            <v>20854166.666666668</v>
          </cell>
        </row>
        <row r="130">
          <cell r="E130">
            <v>22000000</v>
          </cell>
        </row>
        <row r="133">
          <cell r="D133">
            <v>30000000</v>
          </cell>
        </row>
        <row r="134">
          <cell r="E134">
            <v>30000000</v>
          </cell>
        </row>
        <row r="136">
          <cell r="D136">
            <v>12000000</v>
          </cell>
        </row>
        <row r="137">
          <cell r="E137">
            <v>12000000</v>
          </cell>
        </row>
        <row r="139">
          <cell r="D139">
            <v>4000000</v>
          </cell>
        </row>
        <row r="140">
          <cell r="E140">
            <v>4000000</v>
          </cell>
        </row>
        <row r="142">
          <cell r="D142">
            <v>210084033.6134454</v>
          </cell>
        </row>
        <row r="143">
          <cell r="D143">
            <v>39915966.386554629</v>
          </cell>
        </row>
        <row r="144">
          <cell r="E144">
            <v>250000000</v>
          </cell>
        </row>
        <row r="146">
          <cell r="D146">
            <v>55200000</v>
          </cell>
        </row>
        <row r="147">
          <cell r="E147">
            <v>50000000</v>
          </cell>
        </row>
        <row r="148">
          <cell r="E148">
            <v>5200000</v>
          </cell>
        </row>
        <row r="156">
          <cell r="D156">
            <v>950499.99999999988</v>
          </cell>
        </row>
        <row r="161">
          <cell r="E161">
            <v>34416432</v>
          </cell>
        </row>
        <row r="163">
          <cell r="D163">
            <v>1190000</v>
          </cell>
        </row>
        <row r="164">
          <cell r="E164">
            <v>1000000</v>
          </cell>
        </row>
        <row r="165">
          <cell r="E165">
            <v>190000</v>
          </cell>
        </row>
        <row r="167">
          <cell r="D167">
            <v>11698191.155000001</v>
          </cell>
        </row>
        <row r="168">
          <cell r="E168">
            <v>11698191.155000001</v>
          </cell>
        </row>
        <row r="171">
          <cell r="D171">
            <v>850000</v>
          </cell>
        </row>
        <row r="172">
          <cell r="E172">
            <v>850000</v>
          </cell>
        </row>
        <row r="175">
          <cell r="D175">
            <v>7740000</v>
          </cell>
        </row>
        <row r="176">
          <cell r="E176">
            <v>7740000</v>
          </cell>
        </row>
        <row r="180">
          <cell r="D180">
            <v>790000</v>
          </cell>
        </row>
        <row r="181">
          <cell r="E181">
            <v>790000</v>
          </cell>
        </row>
        <row r="183">
          <cell r="D183">
            <v>21400000</v>
          </cell>
        </row>
        <row r="184">
          <cell r="D184">
            <v>5600000</v>
          </cell>
        </row>
        <row r="185">
          <cell r="E185">
            <v>27000000</v>
          </cell>
        </row>
        <row r="187">
          <cell r="D187">
            <v>75000000</v>
          </cell>
        </row>
        <row r="188">
          <cell r="E188">
            <v>75000000</v>
          </cell>
        </row>
        <row r="190">
          <cell r="D190">
            <v>2000000</v>
          </cell>
        </row>
        <row r="191">
          <cell r="D191">
            <v>380000</v>
          </cell>
        </row>
        <row r="192">
          <cell r="E192">
            <v>1190000</v>
          </cell>
        </row>
        <row r="193">
          <cell r="E193">
            <v>1190000</v>
          </cell>
        </row>
        <row r="195">
          <cell r="D195">
            <v>18841919</v>
          </cell>
        </row>
        <row r="196">
          <cell r="D196">
            <v>9424800</v>
          </cell>
        </row>
        <row r="197">
          <cell r="D197">
            <v>14033614</v>
          </cell>
        </row>
        <row r="198">
          <cell r="D198">
            <v>1573577</v>
          </cell>
        </row>
        <row r="199">
          <cell r="B199" t="str">
            <v>ACCIONES SOCIEDAD RRR SPA</v>
          </cell>
          <cell r="D199">
            <v>12825000</v>
          </cell>
        </row>
        <row r="200">
          <cell r="D200">
            <v>24896397</v>
          </cell>
        </row>
        <row r="201">
          <cell r="E201">
            <v>1534927</v>
          </cell>
        </row>
        <row r="202">
          <cell r="E202">
            <v>18416974</v>
          </cell>
        </row>
        <row r="203">
          <cell r="E203">
            <v>127694</v>
          </cell>
        </row>
        <row r="204">
          <cell r="E204">
            <v>103756</v>
          </cell>
        </row>
        <row r="205">
          <cell r="E205">
            <v>33411956</v>
          </cell>
        </row>
        <row r="206">
          <cell r="E206">
            <v>16000000</v>
          </cell>
        </row>
        <row r="207">
          <cell r="E207">
            <v>12000000</v>
          </cell>
        </row>
        <row r="210">
          <cell r="D210">
            <v>130000000</v>
          </cell>
        </row>
        <row r="211">
          <cell r="E211">
            <v>130000000</v>
          </cell>
        </row>
        <row r="213">
          <cell r="D213">
            <v>187410000</v>
          </cell>
        </row>
        <row r="214">
          <cell r="E214">
            <v>187410000</v>
          </cell>
        </row>
        <row r="216">
          <cell r="D216">
            <v>3420000</v>
          </cell>
        </row>
        <row r="217">
          <cell r="D217">
            <v>180000</v>
          </cell>
        </row>
        <row r="218">
          <cell r="E218">
            <v>3420000</v>
          </cell>
        </row>
        <row r="219">
          <cell r="E219">
            <v>180000</v>
          </cell>
        </row>
        <row r="221">
          <cell r="D221">
            <v>100000</v>
          </cell>
        </row>
        <row r="222">
          <cell r="E222">
            <v>100000</v>
          </cell>
        </row>
        <row r="224">
          <cell r="D224">
            <v>100000000</v>
          </cell>
        </row>
        <row r="225">
          <cell r="E225">
            <v>100000000</v>
          </cell>
        </row>
        <row r="227">
          <cell r="D227">
            <v>60000000</v>
          </cell>
        </row>
        <row r="230">
          <cell r="D230">
            <v>5166666.666666667</v>
          </cell>
        </row>
        <row r="231">
          <cell r="D231">
            <v>27777777.77777778</v>
          </cell>
        </row>
        <row r="232">
          <cell r="E232">
            <v>5166666.666666667</v>
          </cell>
        </row>
        <row r="233">
          <cell r="E233">
            <v>27777777.77777778</v>
          </cell>
        </row>
        <row r="235">
          <cell r="D235">
            <v>417800</v>
          </cell>
        </row>
        <row r="236">
          <cell r="E236">
            <v>417800</v>
          </cell>
        </row>
        <row r="239">
          <cell r="E239">
            <v>1215000</v>
          </cell>
        </row>
        <row r="241">
          <cell r="D241">
            <v>5135000</v>
          </cell>
        </row>
        <row r="242">
          <cell r="D242">
            <v>7865000</v>
          </cell>
        </row>
        <row r="243">
          <cell r="E243">
            <v>13000000</v>
          </cell>
        </row>
      </sheetData>
      <sheetData sheetId="16"/>
      <sheetData sheetId="17">
        <row r="65">
          <cell r="B65" t="str">
            <v xml:space="preserve">CASTIGO DEUDORES POR VENTAS </v>
          </cell>
        </row>
        <row r="66">
          <cell r="B66" t="str">
            <v>CASTIGO DE MERCADERIA</v>
          </cell>
        </row>
        <row r="67">
          <cell r="B67" t="str">
            <v>MERMA MERCADERIA</v>
          </cell>
        </row>
        <row r="70">
          <cell r="B70" t="str">
            <v>INTERESES DE LEASING</v>
          </cell>
        </row>
        <row r="74">
          <cell r="B74" t="str">
            <v>PERDIDA VENTA VEHICULO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7" sqref="E17"/>
    </sheetView>
  </sheetViews>
  <sheetFormatPr baseColWidth="10" defaultRowHeight="15" x14ac:dyDescent="0.25"/>
  <sheetData>
    <row r="1" spans="1:5" x14ac:dyDescent="0.25">
      <c r="A1" t="s">
        <v>159</v>
      </c>
    </row>
    <row r="3" spans="1:5" x14ac:dyDescent="0.25">
      <c r="A3" t="s">
        <v>160</v>
      </c>
    </row>
    <row r="5" spans="1:5" x14ac:dyDescent="0.25">
      <c r="A5" t="s">
        <v>170</v>
      </c>
      <c r="E5" t="s">
        <v>186</v>
      </c>
    </row>
    <row r="6" spans="1:5" x14ac:dyDescent="0.25">
      <c r="A6" t="s">
        <v>164</v>
      </c>
      <c r="E6" t="s">
        <v>187</v>
      </c>
    </row>
    <row r="7" spans="1:5" x14ac:dyDescent="0.25">
      <c r="A7" t="s">
        <v>171</v>
      </c>
      <c r="E7" t="s">
        <v>188</v>
      </c>
    </row>
    <row r="8" spans="1:5" x14ac:dyDescent="0.25">
      <c r="A8" t="s">
        <v>169</v>
      </c>
      <c r="E8" t="s">
        <v>185</v>
      </c>
    </row>
    <row r="10" spans="1:5" x14ac:dyDescent="0.25">
      <c r="A10" t="s">
        <v>172</v>
      </c>
    </row>
    <row r="11" spans="1:5" x14ac:dyDescent="0.25">
      <c r="C11" t="s">
        <v>173</v>
      </c>
      <c r="D11" s="114">
        <f>601200*2</f>
        <v>1202400</v>
      </c>
    </row>
    <row r="12" spans="1:5" x14ac:dyDescent="0.25">
      <c r="C12" t="s">
        <v>174</v>
      </c>
      <c r="D12" s="114">
        <f>404000/2</f>
        <v>202000</v>
      </c>
    </row>
    <row r="13" spans="1:5" x14ac:dyDescent="0.25">
      <c r="D13" s="114">
        <f>SUM(D11:D12)</f>
        <v>1404400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opLeftCell="I92" zoomScale="77" zoomScaleNormal="77" workbookViewId="0">
      <selection activeCell="S109" sqref="S109"/>
    </sheetView>
  </sheetViews>
  <sheetFormatPr baseColWidth="10" defaultColWidth="12.85546875" defaultRowHeight="15" x14ac:dyDescent="0.2"/>
  <cols>
    <col min="1" max="1" width="12.85546875" style="26"/>
    <col min="2" max="2" width="15.7109375" style="26" bestFit="1" customWidth="1"/>
    <col min="3" max="3" width="15.7109375" style="27" bestFit="1" customWidth="1"/>
    <col min="4" max="4" width="4" style="27" hidden="1" customWidth="1"/>
    <col min="5" max="5" width="4.7109375" style="27" hidden="1" customWidth="1"/>
    <col min="6" max="6" width="42.7109375" style="27" customWidth="1"/>
    <col min="7" max="7" width="7.85546875" style="29" customWidth="1"/>
    <col min="8" max="8" width="13.140625" style="30" customWidth="1"/>
    <col min="9" max="9" width="12.7109375" style="30" bestFit="1" customWidth="1"/>
    <col min="10" max="10" width="13.28515625" style="30" customWidth="1"/>
    <col min="11" max="11" width="8.140625" style="30" hidden="1" customWidth="1"/>
    <col min="12" max="12" width="11.42578125" style="30" bestFit="1" customWidth="1"/>
    <col min="13" max="13" width="12.42578125" style="30" customWidth="1"/>
    <col min="14" max="14" width="14" style="30" bestFit="1" customWidth="1"/>
    <col min="15" max="15" width="6.7109375" style="31" customWidth="1"/>
    <col min="16" max="16" width="11.7109375" style="31" customWidth="1"/>
    <col min="17" max="17" width="11.42578125" style="31" bestFit="1" customWidth="1"/>
    <col min="18" max="18" width="12.7109375" style="31" bestFit="1" customWidth="1"/>
    <col min="19" max="19" width="13.5703125" style="31" customWidth="1"/>
    <col min="20" max="20" width="14" style="31" bestFit="1" customWidth="1"/>
    <col min="21" max="21" width="12.7109375" style="31" bestFit="1" customWidth="1"/>
    <col min="22" max="23" width="11.42578125" style="31" bestFit="1" customWidth="1"/>
    <col min="24" max="25" width="9.5703125" style="31" bestFit="1" customWidth="1"/>
    <col min="26" max="26" width="12.7109375" style="31" bestFit="1" customWidth="1"/>
    <col min="27" max="27" width="14" style="31" bestFit="1" customWidth="1"/>
    <col min="28" max="28" width="11.42578125" style="31" bestFit="1" customWidth="1"/>
    <col min="29" max="29" width="12.7109375" style="30" bestFit="1" customWidth="1"/>
    <col min="30" max="16384" width="12.85546875" style="26"/>
  </cols>
  <sheetData>
    <row r="1" spans="1:29" ht="31.5" x14ac:dyDescent="0.5">
      <c r="F1" s="28" t="s">
        <v>147</v>
      </c>
    </row>
    <row r="3" spans="1:29" ht="21" x14ac:dyDescent="0.35">
      <c r="B3" s="32" t="s">
        <v>148</v>
      </c>
    </row>
    <row r="4" spans="1:29" ht="15.75" x14ac:dyDescent="0.25">
      <c r="B4" s="33" t="s">
        <v>67</v>
      </c>
      <c r="C4" s="33" t="s">
        <v>68</v>
      </c>
      <c r="D4" s="34"/>
      <c r="E4" s="34"/>
      <c r="F4" s="33" t="s">
        <v>69</v>
      </c>
      <c r="G4" s="35" t="s">
        <v>70</v>
      </c>
      <c r="H4" s="36" t="s">
        <v>71</v>
      </c>
      <c r="I4" s="36" t="s">
        <v>72</v>
      </c>
      <c r="J4" s="117" t="s">
        <v>73</v>
      </c>
      <c r="K4" s="36" t="s">
        <v>74</v>
      </c>
      <c r="L4" s="36" t="s">
        <v>75</v>
      </c>
      <c r="M4" s="36" t="s">
        <v>76</v>
      </c>
      <c r="N4" s="36" t="s">
        <v>71</v>
      </c>
      <c r="O4" s="36" t="s">
        <v>77</v>
      </c>
      <c r="P4" s="36" t="s">
        <v>78</v>
      </c>
      <c r="Q4" s="36" t="s">
        <v>79</v>
      </c>
      <c r="R4" s="36" t="s">
        <v>80</v>
      </c>
      <c r="S4" s="36" t="s">
        <v>81</v>
      </c>
      <c r="T4" s="36" t="s">
        <v>82</v>
      </c>
      <c r="U4" s="36" t="s">
        <v>83</v>
      </c>
      <c r="V4" s="36" t="s">
        <v>83</v>
      </c>
      <c r="W4" s="36" t="s">
        <v>84</v>
      </c>
      <c r="X4" s="36" t="s">
        <v>85</v>
      </c>
      <c r="Y4" s="36" t="s">
        <v>76</v>
      </c>
      <c r="Z4" s="36" t="s">
        <v>82</v>
      </c>
      <c r="AA4" s="36" t="s">
        <v>86</v>
      </c>
      <c r="AB4" s="36" t="s">
        <v>87</v>
      </c>
      <c r="AC4" s="36" t="s">
        <v>88</v>
      </c>
    </row>
    <row r="5" spans="1:29" ht="15.75" x14ac:dyDescent="0.25">
      <c r="A5" s="37"/>
      <c r="B5" s="38" t="s">
        <v>89</v>
      </c>
      <c r="C5" s="34"/>
      <c r="D5" s="34"/>
      <c r="E5" s="34"/>
      <c r="F5" s="34"/>
      <c r="G5" s="35" t="s">
        <v>90</v>
      </c>
      <c r="H5" s="36" t="s">
        <v>91</v>
      </c>
      <c r="I5" s="36" t="s">
        <v>92</v>
      </c>
      <c r="J5" s="117"/>
      <c r="K5" s="36" t="s">
        <v>93</v>
      </c>
      <c r="L5" s="36" t="s">
        <v>94</v>
      </c>
      <c r="M5" s="36" t="s">
        <v>95</v>
      </c>
      <c r="N5" s="36" t="s">
        <v>95</v>
      </c>
      <c r="O5" s="36" t="s">
        <v>96</v>
      </c>
      <c r="P5" s="36" t="s">
        <v>96</v>
      </c>
      <c r="Q5" s="36" t="s">
        <v>97</v>
      </c>
      <c r="R5" s="36" t="s">
        <v>98</v>
      </c>
      <c r="S5" s="36" t="s">
        <v>95</v>
      </c>
      <c r="T5" s="36" t="s">
        <v>99</v>
      </c>
      <c r="U5" s="36" t="s">
        <v>100</v>
      </c>
      <c r="V5" s="36" t="s">
        <v>101</v>
      </c>
      <c r="W5" s="36" t="s">
        <v>102</v>
      </c>
      <c r="X5" s="36" t="s">
        <v>103</v>
      </c>
      <c r="Y5" s="36" t="s">
        <v>104</v>
      </c>
      <c r="Z5" s="36" t="s">
        <v>104</v>
      </c>
      <c r="AA5" s="36" t="s">
        <v>105</v>
      </c>
      <c r="AB5" s="36" t="s">
        <v>106</v>
      </c>
      <c r="AC5" s="36" t="s">
        <v>105</v>
      </c>
    </row>
    <row r="6" spans="1:29" s="37" customFormat="1" ht="15.75" x14ac:dyDescent="0.25">
      <c r="B6" s="39">
        <v>1</v>
      </c>
      <c r="C6" s="40" t="s">
        <v>162</v>
      </c>
      <c r="D6" s="40"/>
      <c r="E6" s="40"/>
      <c r="F6" s="40" t="s">
        <v>170</v>
      </c>
      <c r="G6" s="41">
        <v>30</v>
      </c>
      <c r="H6" s="42">
        <v>680000</v>
      </c>
      <c r="I6" s="42">
        <v>138542</v>
      </c>
      <c r="J6" s="42">
        <v>15912</v>
      </c>
      <c r="K6" s="43" t="s">
        <v>107</v>
      </c>
      <c r="L6" s="42">
        <v>0</v>
      </c>
      <c r="M6" s="42">
        <v>729000</v>
      </c>
      <c r="N6" s="44">
        <f>H6+I6+J6+M6+L6</f>
        <v>1563454</v>
      </c>
      <c r="O6" s="42">
        <v>0</v>
      </c>
      <c r="P6" s="42">
        <v>0</v>
      </c>
      <c r="Q6" s="42">
        <v>100000</v>
      </c>
      <c r="R6" s="42">
        <v>100000</v>
      </c>
      <c r="S6" s="42">
        <v>0</v>
      </c>
      <c r="T6" s="44">
        <f>N6+P6+Q6+R6</f>
        <v>1763454</v>
      </c>
      <c r="U6" s="42">
        <v>176201</v>
      </c>
      <c r="V6" s="42">
        <v>114863</v>
      </c>
      <c r="W6" s="42">
        <v>9381</v>
      </c>
      <c r="X6" s="42">
        <v>20886</v>
      </c>
      <c r="Y6" s="42">
        <v>119910</v>
      </c>
      <c r="Z6" s="44">
        <f>U6+V6+W6+Y6+X6</f>
        <v>441241</v>
      </c>
      <c r="AA6" s="44">
        <f t="shared" ref="AA6:AA8" si="0">T6-Z6</f>
        <v>1322213</v>
      </c>
      <c r="AB6" s="42">
        <v>0</v>
      </c>
      <c r="AC6" s="44">
        <f t="shared" ref="AC6:AC8" si="1">AA6-AB6</f>
        <v>1322213</v>
      </c>
    </row>
    <row r="7" spans="1:29" s="37" customFormat="1" ht="15.75" x14ac:dyDescent="0.25">
      <c r="B7" s="39">
        <f t="shared" ref="B7:B8" si="2">+B6+1</f>
        <v>2</v>
      </c>
      <c r="C7" s="40" t="s">
        <v>161</v>
      </c>
      <c r="D7" s="40"/>
      <c r="E7" s="40"/>
      <c r="F7" s="40" t="s">
        <v>164</v>
      </c>
      <c r="G7" s="41">
        <v>30</v>
      </c>
      <c r="H7" s="42">
        <v>404000</v>
      </c>
      <c r="I7" s="42">
        <v>109255</v>
      </c>
      <c r="J7" s="42">
        <v>9454</v>
      </c>
      <c r="K7" s="43" t="s">
        <v>107</v>
      </c>
      <c r="L7" s="42">
        <v>23566</v>
      </c>
      <c r="M7" s="42">
        <v>0</v>
      </c>
      <c r="N7" s="44">
        <f>H7+I7+J7+M7+L7</f>
        <v>546275</v>
      </c>
      <c r="O7" s="42">
        <v>1</v>
      </c>
      <c r="P7" s="42">
        <v>8815</v>
      </c>
      <c r="Q7" s="42">
        <v>0</v>
      </c>
      <c r="R7" s="42">
        <v>0</v>
      </c>
      <c r="S7" s="42">
        <v>0</v>
      </c>
      <c r="T7" s="44">
        <f>N7+P7+Q7+R7</f>
        <v>555090</v>
      </c>
      <c r="U7" s="42">
        <v>62548</v>
      </c>
      <c r="V7" s="42">
        <v>38239</v>
      </c>
      <c r="W7" s="42">
        <v>0</v>
      </c>
      <c r="X7" s="42">
        <v>0</v>
      </c>
      <c r="Y7" s="42">
        <v>0</v>
      </c>
      <c r="Z7" s="44">
        <f t="shared" ref="Z7:Z8" si="3">U7+V7+W7+Y7+X7</f>
        <v>100787</v>
      </c>
      <c r="AA7" s="44">
        <f t="shared" si="0"/>
        <v>454303</v>
      </c>
      <c r="AB7" s="42">
        <v>0</v>
      </c>
      <c r="AC7" s="44">
        <f t="shared" si="1"/>
        <v>454303</v>
      </c>
    </row>
    <row r="8" spans="1:29" s="37" customFormat="1" ht="15.75" x14ac:dyDescent="0.25">
      <c r="B8" s="39">
        <f t="shared" si="2"/>
        <v>3</v>
      </c>
      <c r="C8" s="40" t="s">
        <v>163</v>
      </c>
      <c r="D8" s="40"/>
      <c r="E8" s="40"/>
      <c r="F8" s="40" t="s">
        <v>171</v>
      </c>
      <c r="G8" s="41">
        <v>30</v>
      </c>
      <c r="H8" s="42">
        <v>468000</v>
      </c>
      <c r="I8" s="42">
        <v>126563</v>
      </c>
      <c r="J8" s="42">
        <v>10951</v>
      </c>
      <c r="K8" s="43" t="s">
        <v>107</v>
      </c>
      <c r="L8" s="42">
        <v>27300</v>
      </c>
      <c r="M8" s="42">
        <v>0</v>
      </c>
      <c r="N8" s="44">
        <f>H8+I8+J8+M8+L8</f>
        <v>632814</v>
      </c>
      <c r="O8" s="42">
        <v>0</v>
      </c>
      <c r="P8" s="42">
        <f>O8*2052</f>
        <v>0</v>
      </c>
      <c r="Q8" s="42">
        <v>0</v>
      </c>
      <c r="R8" s="42">
        <v>0</v>
      </c>
      <c r="S8" s="42">
        <v>0</v>
      </c>
      <c r="T8" s="44">
        <f>N8+P8+Q8+R8</f>
        <v>632814</v>
      </c>
      <c r="U8" s="42">
        <v>66952</v>
      </c>
      <c r="V8" s="42">
        <v>44297</v>
      </c>
      <c r="W8" s="42">
        <v>3797</v>
      </c>
      <c r="X8" s="42">
        <v>0</v>
      </c>
      <c r="Y8" s="42">
        <v>0</v>
      </c>
      <c r="Z8" s="44">
        <f t="shared" si="3"/>
        <v>115046</v>
      </c>
      <c r="AA8" s="42">
        <f t="shared" si="0"/>
        <v>517768</v>
      </c>
      <c r="AB8" s="42">
        <v>0</v>
      </c>
      <c r="AC8" s="44">
        <f t="shared" si="1"/>
        <v>517768</v>
      </c>
    </row>
    <row r="9" spans="1:29" s="37" customFormat="1" ht="16.5" thickBot="1" x14ac:dyDescent="0.3">
      <c r="B9" s="39"/>
      <c r="C9" s="40"/>
      <c r="D9" s="39"/>
      <c r="E9" s="39"/>
      <c r="G9" s="41"/>
      <c r="H9" s="45"/>
      <c r="I9" s="45"/>
      <c r="J9" s="45"/>
      <c r="K9" s="46"/>
      <c r="L9" s="45"/>
      <c r="M9" s="45"/>
      <c r="N9" s="47"/>
      <c r="O9" s="45"/>
      <c r="P9" s="45"/>
      <c r="Q9" s="45"/>
      <c r="R9" s="45"/>
      <c r="S9" s="45"/>
      <c r="T9" s="47"/>
      <c r="U9" s="45"/>
      <c r="V9" s="45"/>
      <c r="W9" s="45"/>
      <c r="X9" s="45"/>
      <c r="Y9" s="45"/>
      <c r="Z9" s="47"/>
      <c r="AA9" s="47"/>
      <c r="AB9" s="45"/>
      <c r="AC9" s="48"/>
    </row>
    <row r="10" spans="1:29" s="37" customFormat="1" ht="16.5" thickTop="1" x14ac:dyDescent="0.25">
      <c r="C10" s="39"/>
      <c r="D10" s="39"/>
      <c r="E10" s="39"/>
      <c r="F10" s="49" t="s">
        <v>108</v>
      </c>
      <c r="G10" s="41"/>
      <c r="H10" s="44">
        <f t="shared" ref="H10:AC10" si="4">SUM(H6:H9)</f>
        <v>1552000</v>
      </c>
      <c r="I10" s="44">
        <f t="shared" si="4"/>
        <v>374360</v>
      </c>
      <c r="J10" s="44">
        <f t="shared" si="4"/>
        <v>36317</v>
      </c>
      <c r="K10" s="44">
        <f t="shared" si="4"/>
        <v>0</v>
      </c>
      <c r="L10" s="44">
        <f t="shared" si="4"/>
        <v>50866</v>
      </c>
      <c r="M10" s="44">
        <f t="shared" si="4"/>
        <v>729000</v>
      </c>
      <c r="N10" s="44">
        <f t="shared" si="4"/>
        <v>2742543</v>
      </c>
      <c r="O10" s="44">
        <f t="shared" si="4"/>
        <v>1</v>
      </c>
      <c r="P10" s="44">
        <f t="shared" si="4"/>
        <v>8815</v>
      </c>
      <c r="Q10" s="44">
        <f t="shared" si="4"/>
        <v>100000</v>
      </c>
      <c r="R10" s="44">
        <f t="shared" si="4"/>
        <v>100000</v>
      </c>
      <c r="S10" s="44">
        <f t="shared" si="4"/>
        <v>0</v>
      </c>
      <c r="T10" s="44">
        <f t="shared" si="4"/>
        <v>2951358</v>
      </c>
      <c r="U10" s="44">
        <f t="shared" si="4"/>
        <v>305701</v>
      </c>
      <c r="V10" s="44">
        <f t="shared" si="4"/>
        <v>197399</v>
      </c>
      <c r="W10" s="44">
        <f t="shared" si="4"/>
        <v>13178</v>
      </c>
      <c r="X10" s="44">
        <f t="shared" si="4"/>
        <v>20886</v>
      </c>
      <c r="Y10" s="44">
        <f t="shared" si="4"/>
        <v>119910</v>
      </c>
      <c r="Z10" s="44">
        <f t="shared" si="4"/>
        <v>657074</v>
      </c>
      <c r="AA10" s="44">
        <f t="shared" si="4"/>
        <v>2294284</v>
      </c>
      <c r="AB10" s="44">
        <f t="shared" si="4"/>
        <v>0</v>
      </c>
      <c r="AC10" s="44">
        <f t="shared" si="4"/>
        <v>2294284</v>
      </c>
    </row>
    <row r="11" spans="1:29" ht="21" x14ac:dyDescent="0.35">
      <c r="B11" s="32" t="s">
        <v>149</v>
      </c>
    </row>
    <row r="12" spans="1:29" ht="15.75" x14ac:dyDescent="0.25">
      <c r="B12" s="33" t="s">
        <v>67</v>
      </c>
      <c r="C12" s="33" t="s">
        <v>68</v>
      </c>
      <c r="D12" s="34"/>
      <c r="E12" s="34"/>
      <c r="F12" s="33" t="s">
        <v>69</v>
      </c>
      <c r="G12" s="35" t="s">
        <v>70</v>
      </c>
      <c r="H12" s="36" t="s">
        <v>71</v>
      </c>
      <c r="I12" s="36" t="s">
        <v>72</v>
      </c>
      <c r="J12" s="117" t="s">
        <v>73</v>
      </c>
      <c r="K12" s="36" t="s">
        <v>74</v>
      </c>
      <c r="L12" s="36" t="s">
        <v>75</v>
      </c>
      <c r="M12" s="36" t="s">
        <v>76</v>
      </c>
      <c r="N12" s="36" t="s">
        <v>71</v>
      </c>
      <c r="O12" s="36" t="s">
        <v>77</v>
      </c>
      <c r="P12" s="36" t="s">
        <v>78</v>
      </c>
      <c r="Q12" s="36" t="s">
        <v>79</v>
      </c>
      <c r="R12" s="36" t="s">
        <v>80</v>
      </c>
      <c r="S12" s="36" t="s">
        <v>81</v>
      </c>
      <c r="T12" s="36" t="s">
        <v>82</v>
      </c>
      <c r="U12" s="36" t="s">
        <v>83</v>
      </c>
      <c r="V12" s="36" t="s">
        <v>83</v>
      </c>
      <c r="W12" s="36" t="s">
        <v>84</v>
      </c>
      <c r="X12" s="36" t="s">
        <v>85</v>
      </c>
      <c r="Y12" s="36" t="s">
        <v>76</v>
      </c>
      <c r="Z12" s="36" t="s">
        <v>82</v>
      </c>
      <c r="AA12" s="36" t="s">
        <v>86</v>
      </c>
      <c r="AB12" s="36" t="s">
        <v>87</v>
      </c>
      <c r="AC12" s="36" t="s">
        <v>88</v>
      </c>
    </row>
    <row r="13" spans="1:29" ht="15.75" x14ac:dyDescent="0.25">
      <c r="A13" s="37"/>
      <c r="B13" s="38" t="s">
        <v>89</v>
      </c>
      <c r="C13" s="34"/>
      <c r="D13" s="34"/>
      <c r="E13" s="34"/>
      <c r="F13" s="34"/>
      <c r="G13" s="35" t="s">
        <v>90</v>
      </c>
      <c r="H13" s="36" t="s">
        <v>91</v>
      </c>
      <c r="I13" s="36" t="s">
        <v>92</v>
      </c>
      <c r="J13" s="117"/>
      <c r="K13" s="36" t="s">
        <v>93</v>
      </c>
      <c r="L13" s="36" t="s">
        <v>94</v>
      </c>
      <c r="M13" s="36" t="s">
        <v>95</v>
      </c>
      <c r="N13" s="36" t="s">
        <v>95</v>
      </c>
      <c r="O13" s="36" t="s">
        <v>96</v>
      </c>
      <c r="P13" s="36" t="s">
        <v>96</v>
      </c>
      <c r="Q13" s="36" t="s">
        <v>97</v>
      </c>
      <c r="R13" s="36" t="s">
        <v>98</v>
      </c>
      <c r="S13" s="36" t="s">
        <v>95</v>
      </c>
      <c r="T13" s="36" t="s">
        <v>99</v>
      </c>
      <c r="U13" s="36" t="s">
        <v>100</v>
      </c>
      <c r="V13" s="36" t="s">
        <v>101</v>
      </c>
      <c r="W13" s="36" t="s">
        <v>102</v>
      </c>
      <c r="X13" s="36" t="s">
        <v>103</v>
      </c>
      <c r="Y13" s="36" t="s">
        <v>104</v>
      </c>
      <c r="Z13" s="36" t="s">
        <v>104</v>
      </c>
      <c r="AA13" s="36" t="s">
        <v>105</v>
      </c>
      <c r="AB13" s="36" t="s">
        <v>106</v>
      </c>
      <c r="AC13" s="36" t="s">
        <v>105</v>
      </c>
    </row>
    <row r="14" spans="1:29" s="37" customFormat="1" ht="15.75" x14ac:dyDescent="0.25">
      <c r="B14" s="39">
        <v>1</v>
      </c>
      <c r="C14" s="40" t="s">
        <v>162</v>
      </c>
      <c r="D14" s="40"/>
      <c r="E14" s="40"/>
      <c r="F14" s="40" t="s">
        <v>170</v>
      </c>
      <c r="G14" s="41">
        <v>30</v>
      </c>
      <c r="H14" s="42">
        <v>680000</v>
      </c>
      <c r="I14" s="42">
        <v>138542</v>
      </c>
      <c r="J14" s="42">
        <v>15912</v>
      </c>
      <c r="K14" s="43" t="s">
        <v>107</v>
      </c>
      <c r="L14" s="42">
        <v>0</v>
      </c>
      <c r="M14" s="42">
        <v>724000</v>
      </c>
      <c r="N14" s="44">
        <f>H14+I14+J14+M14+L14</f>
        <v>1558454</v>
      </c>
      <c r="O14" s="42">
        <v>0</v>
      </c>
      <c r="P14" s="42">
        <v>0</v>
      </c>
      <c r="Q14" s="42">
        <v>100000</v>
      </c>
      <c r="R14" s="42">
        <v>100000</v>
      </c>
      <c r="S14" s="42">
        <v>0</v>
      </c>
      <c r="T14" s="44">
        <f>N14+P14+Q14+R14</f>
        <v>1758454</v>
      </c>
      <c r="U14" s="42">
        <v>175638</v>
      </c>
      <c r="V14" s="42">
        <v>116064</v>
      </c>
      <c r="W14" s="42">
        <v>9351</v>
      </c>
      <c r="X14" s="42">
        <v>20662</v>
      </c>
      <c r="Y14" s="42">
        <v>78372</v>
      </c>
      <c r="Z14" s="44">
        <f>U14+V14+W14+Y14+X14</f>
        <v>400087</v>
      </c>
      <c r="AA14" s="44">
        <f t="shared" ref="AA14:AA16" si="5">T14-Z14</f>
        <v>1358367</v>
      </c>
      <c r="AB14" s="42">
        <v>0</v>
      </c>
      <c r="AC14" s="44">
        <f t="shared" ref="AC14:AC16" si="6">AA14-AB14</f>
        <v>1358367</v>
      </c>
    </row>
    <row r="15" spans="1:29" s="37" customFormat="1" ht="13.5" customHeight="1" x14ac:dyDescent="0.25">
      <c r="B15" s="39">
        <f t="shared" ref="B15:B16" si="7">+B14+1</f>
        <v>2</v>
      </c>
      <c r="C15" s="40" t="s">
        <v>161</v>
      </c>
      <c r="D15" s="40"/>
      <c r="E15" s="40"/>
      <c r="F15" s="40" t="s">
        <v>164</v>
      </c>
      <c r="G15" s="41">
        <v>30</v>
      </c>
      <c r="H15" s="42">
        <v>404000</v>
      </c>
      <c r="I15" s="42">
        <v>102182</v>
      </c>
      <c r="J15" s="42">
        <v>4727</v>
      </c>
      <c r="K15" s="43" t="s">
        <v>107</v>
      </c>
      <c r="L15" s="42">
        <v>0</v>
      </c>
      <c r="M15" s="42">
        <v>0</v>
      </c>
      <c r="N15" s="44">
        <f>H15+I15+J15+M15+L15</f>
        <v>510909</v>
      </c>
      <c r="O15" s="42">
        <v>1</v>
      </c>
      <c r="P15" s="42">
        <v>8815</v>
      </c>
      <c r="Q15" s="42">
        <v>0</v>
      </c>
      <c r="R15" s="42">
        <v>0</v>
      </c>
      <c r="S15" s="42">
        <v>0</v>
      </c>
      <c r="T15" s="44">
        <f>N15+P15+Q15+R15</f>
        <v>519724</v>
      </c>
      <c r="U15" s="42">
        <v>58499</v>
      </c>
      <c r="V15" s="42">
        <v>35764</v>
      </c>
      <c r="W15" s="42">
        <v>0</v>
      </c>
      <c r="X15" s="42">
        <v>0</v>
      </c>
      <c r="Y15" s="42">
        <v>0</v>
      </c>
      <c r="Z15" s="44">
        <f t="shared" ref="Z15:Z16" si="8">U15+V15+W15+Y15+X15</f>
        <v>94263</v>
      </c>
      <c r="AA15" s="44">
        <f t="shared" si="5"/>
        <v>425461</v>
      </c>
      <c r="AB15" s="42">
        <v>0</v>
      </c>
      <c r="AC15" s="44">
        <f t="shared" si="6"/>
        <v>425461</v>
      </c>
    </row>
    <row r="16" spans="1:29" s="37" customFormat="1" ht="13.5" customHeight="1" x14ac:dyDescent="0.25">
      <c r="B16" s="39">
        <f t="shared" si="7"/>
        <v>3</v>
      </c>
      <c r="C16" s="40" t="s">
        <v>163</v>
      </c>
      <c r="D16" s="40"/>
      <c r="E16" s="40"/>
      <c r="F16" s="40" t="s">
        <v>171</v>
      </c>
      <c r="G16" s="41">
        <v>30</v>
      </c>
      <c r="H16" s="42">
        <v>468000</v>
      </c>
      <c r="I16" s="42">
        <v>119738</v>
      </c>
      <c r="J16" s="42">
        <v>10951</v>
      </c>
      <c r="K16" s="43" t="s">
        <v>107</v>
      </c>
      <c r="L16" s="42">
        <v>0</v>
      </c>
      <c r="M16" s="42">
        <v>0</v>
      </c>
      <c r="N16" s="44">
        <f>H16+I16+J16+M16+L16</f>
        <v>598689</v>
      </c>
      <c r="O16" s="42">
        <v>0</v>
      </c>
      <c r="P16" s="42">
        <f>O16*2052</f>
        <v>0</v>
      </c>
      <c r="Q16" s="42">
        <v>0</v>
      </c>
      <c r="R16" s="42">
        <v>0</v>
      </c>
      <c r="S16" s="42">
        <v>0</v>
      </c>
      <c r="T16" s="44">
        <f>N16+P16+Q16+R16</f>
        <v>598689</v>
      </c>
      <c r="U16" s="42">
        <v>66952</v>
      </c>
      <c r="V16" s="42">
        <v>44297</v>
      </c>
      <c r="W16" s="42">
        <v>3797</v>
      </c>
      <c r="X16" s="42">
        <v>0</v>
      </c>
      <c r="Y16" s="42">
        <v>0</v>
      </c>
      <c r="Z16" s="44">
        <f t="shared" si="8"/>
        <v>115046</v>
      </c>
      <c r="AA16" s="42">
        <f t="shared" si="5"/>
        <v>483643</v>
      </c>
      <c r="AB16" s="42">
        <v>0</v>
      </c>
      <c r="AC16" s="44">
        <f t="shared" si="6"/>
        <v>483643</v>
      </c>
    </row>
    <row r="17" spans="1:29" s="37" customFormat="1" ht="16.5" thickBot="1" x14ac:dyDescent="0.3">
      <c r="B17" s="39"/>
      <c r="C17" s="40"/>
      <c r="D17" s="39"/>
      <c r="E17" s="39"/>
      <c r="G17" s="41"/>
      <c r="H17" s="45"/>
      <c r="I17" s="45"/>
      <c r="J17" s="45"/>
      <c r="K17" s="46"/>
      <c r="L17" s="45"/>
      <c r="M17" s="45"/>
      <c r="N17" s="47"/>
      <c r="O17" s="45"/>
      <c r="P17" s="45"/>
      <c r="Q17" s="45"/>
      <c r="R17" s="45"/>
      <c r="S17" s="45"/>
      <c r="T17" s="47"/>
      <c r="U17" s="45"/>
      <c r="V17" s="45"/>
      <c r="W17" s="45"/>
      <c r="X17" s="45"/>
      <c r="Y17" s="45"/>
      <c r="Z17" s="47"/>
      <c r="AA17" s="47"/>
      <c r="AB17" s="45"/>
      <c r="AC17" s="48"/>
    </row>
    <row r="18" spans="1:29" s="37" customFormat="1" ht="16.5" thickTop="1" x14ac:dyDescent="0.25">
      <c r="C18" s="39"/>
      <c r="D18" s="39"/>
      <c r="E18" s="39"/>
      <c r="F18" s="49" t="s">
        <v>108</v>
      </c>
      <c r="G18" s="41"/>
      <c r="H18" s="44">
        <f t="shared" ref="H18:AC18" si="9">SUM(H14:H17)</f>
        <v>1552000</v>
      </c>
      <c r="I18" s="44">
        <f t="shared" si="9"/>
        <v>360462</v>
      </c>
      <c r="J18" s="44">
        <f t="shared" si="9"/>
        <v>31590</v>
      </c>
      <c r="K18" s="44">
        <f t="shared" si="9"/>
        <v>0</v>
      </c>
      <c r="L18" s="44">
        <f t="shared" si="9"/>
        <v>0</v>
      </c>
      <c r="M18" s="44">
        <f t="shared" si="9"/>
        <v>724000</v>
      </c>
      <c r="N18" s="44">
        <f t="shared" si="9"/>
        <v>2668052</v>
      </c>
      <c r="O18" s="44">
        <f t="shared" si="9"/>
        <v>1</v>
      </c>
      <c r="P18" s="44">
        <f t="shared" si="9"/>
        <v>8815</v>
      </c>
      <c r="Q18" s="44">
        <f t="shared" si="9"/>
        <v>100000</v>
      </c>
      <c r="R18" s="44">
        <f t="shared" si="9"/>
        <v>100000</v>
      </c>
      <c r="S18" s="44">
        <f t="shared" si="9"/>
        <v>0</v>
      </c>
      <c r="T18" s="44">
        <f t="shared" si="9"/>
        <v>2876867</v>
      </c>
      <c r="U18" s="44">
        <f t="shared" si="9"/>
        <v>301089</v>
      </c>
      <c r="V18" s="44">
        <f t="shared" si="9"/>
        <v>196125</v>
      </c>
      <c r="W18" s="44">
        <f t="shared" si="9"/>
        <v>13148</v>
      </c>
      <c r="X18" s="44">
        <f t="shared" si="9"/>
        <v>20662</v>
      </c>
      <c r="Y18" s="44">
        <f t="shared" si="9"/>
        <v>78372</v>
      </c>
      <c r="Z18" s="44">
        <f t="shared" si="9"/>
        <v>609396</v>
      </c>
      <c r="AA18" s="44">
        <f t="shared" si="9"/>
        <v>2267471</v>
      </c>
      <c r="AB18" s="44">
        <f t="shared" si="9"/>
        <v>0</v>
      </c>
      <c r="AC18" s="44">
        <f t="shared" si="9"/>
        <v>2267471</v>
      </c>
    </row>
    <row r="19" spans="1:29" ht="21" x14ac:dyDescent="0.35">
      <c r="B19" s="32" t="s">
        <v>150</v>
      </c>
    </row>
    <row r="20" spans="1:29" ht="15.75" x14ac:dyDescent="0.25">
      <c r="B20" s="33" t="s">
        <v>67</v>
      </c>
      <c r="C20" s="33" t="s">
        <v>68</v>
      </c>
      <c r="D20" s="34"/>
      <c r="E20" s="34"/>
      <c r="F20" s="33" t="s">
        <v>69</v>
      </c>
      <c r="G20" s="35" t="s">
        <v>70</v>
      </c>
      <c r="H20" s="36" t="s">
        <v>71</v>
      </c>
      <c r="I20" s="36" t="s">
        <v>72</v>
      </c>
      <c r="J20" s="117" t="s">
        <v>73</v>
      </c>
      <c r="K20" s="36" t="s">
        <v>74</v>
      </c>
      <c r="L20" s="36" t="s">
        <v>75</v>
      </c>
      <c r="M20" s="36" t="s">
        <v>76</v>
      </c>
      <c r="N20" s="36" t="s">
        <v>71</v>
      </c>
      <c r="O20" s="36" t="s">
        <v>77</v>
      </c>
      <c r="P20" s="36" t="s">
        <v>78</v>
      </c>
      <c r="Q20" s="36" t="s">
        <v>79</v>
      </c>
      <c r="R20" s="36" t="s">
        <v>80</v>
      </c>
      <c r="S20" s="36" t="s">
        <v>81</v>
      </c>
      <c r="T20" s="36" t="s">
        <v>82</v>
      </c>
      <c r="U20" s="36" t="s">
        <v>83</v>
      </c>
      <c r="V20" s="36" t="s">
        <v>83</v>
      </c>
      <c r="W20" s="36" t="s">
        <v>84</v>
      </c>
      <c r="X20" s="36" t="s">
        <v>85</v>
      </c>
      <c r="Y20" s="36" t="s">
        <v>76</v>
      </c>
      <c r="Z20" s="36" t="s">
        <v>82</v>
      </c>
      <c r="AA20" s="36" t="s">
        <v>86</v>
      </c>
      <c r="AB20" s="36" t="s">
        <v>87</v>
      </c>
      <c r="AC20" s="36" t="s">
        <v>88</v>
      </c>
    </row>
    <row r="21" spans="1:29" ht="13.5" customHeight="1" x14ac:dyDescent="0.25">
      <c r="A21" s="37"/>
      <c r="B21" s="38" t="s">
        <v>89</v>
      </c>
      <c r="C21" s="34"/>
      <c r="D21" s="34"/>
      <c r="E21" s="34"/>
      <c r="F21" s="34"/>
      <c r="G21" s="35" t="s">
        <v>90</v>
      </c>
      <c r="H21" s="36" t="s">
        <v>91</v>
      </c>
      <c r="I21" s="36" t="s">
        <v>92</v>
      </c>
      <c r="J21" s="117"/>
      <c r="K21" s="36" t="s">
        <v>93</v>
      </c>
      <c r="L21" s="36" t="s">
        <v>94</v>
      </c>
      <c r="M21" s="36" t="s">
        <v>95</v>
      </c>
      <c r="N21" s="36" t="s">
        <v>95</v>
      </c>
      <c r="O21" s="36" t="s">
        <v>96</v>
      </c>
      <c r="P21" s="36" t="s">
        <v>96</v>
      </c>
      <c r="Q21" s="36" t="s">
        <v>97</v>
      </c>
      <c r="R21" s="36" t="s">
        <v>98</v>
      </c>
      <c r="S21" s="36" t="s">
        <v>95</v>
      </c>
      <c r="T21" s="36" t="s">
        <v>99</v>
      </c>
      <c r="U21" s="36" t="s">
        <v>100</v>
      </c>
      <c r="V21" s="36" t="s">
        <v>101</v>
      </c>
      <c r="W21" s="36" t="s">
        <v>102</v>
      </c>
      <c r="X21" s="36" t="s">
        <v>103</v>
      </c>
      <c r="Y21" s="36" t="s">
        <v>104</v>
      </c>
      <c r="Z21" s="36" t="s">
        <v>104</v>
      </c>
      <c r="AA21" s="36" t="s">
        <v>105</v>
      </c>
      <c r="AB21" s="36" t="s">
        <v>106</v>
      </c>
      <c r="AC21" s="36" t="s">
        <v>105</v>
      </c>
    </row>
    <row r="22" spans="1:29" s="37" customFormat="1" ht="13.5" customHeight="1" x14ac:dyDescent="0.25">
      <c r="B22" s="39">
        <v>1</v>
      </c>
      <c r="C22" s="40" t="s">
        <v>162</v>
      </c>
      <c r="D22" s="40"/>
      <c r="E22" s="40"/>
      <c r="F22" s="40" t="s">
        <v>170</v>
      </c>
      <c r="G22" s="41">
        <v>30</v>
      </c>
      <c r="H22" s="42">
        <v>680000</v>
      </c>
      <c r="I22" s="42">
        <v>138542</v>
      </c>
      <c r="J22" s="42">
        <v>0</v>
      </c>
      <c r="K22" s="43" t="s">
        <v>107</v>
      </c>
      <c r="L22" s="42">
        <v>0</v>
      </c>
      <c r="M22" s="42">
        <v>556500</v>
      </c>
      <c r="N22" s="44">
        <f>H22+I22+J22+M22+L22</f>
        <v>1375042</v>
      </c>
      <c r="O22" s="42">
        <v>0</v>
      </c>
      <c r="P22" s="42">
        <v>0</v>
      </c>
      <c r="Q22" s="42">
        <v>100000</v>
      </c>
      <c r="R22" s="42">
        <v>100000</v>
      </c>
      <c r="S22" s="42">
        <v>0</v>
      </c>
      <c r="T22" s="44">
        <f>N22+P22+Q22+R22</f>
        <v>1575042</v>
      </c>
      <c r="U22" s="42">
        <v>154967</v>
      </c>
      <c r="V22" s="42">
        <v>116758</v>
      </c>
      <c r="W22" s="42">
        <v>8250</v>
      </c>
      <c r="X22" s="42">
        <v>13723</v>
      </c>
      <c r="Y22" s="42">
        <v>73502</v>
      </c>
      <c r="Z22" s="44">
        <f>U22+V22+W22+Y22+X22</f>
        <v>367200</v>
      </c>
      <c r="AA22" s="44">
        <f t="shared" ref="AA22:AA24" si="10">T22-Z22</f>
        <v>1207842</v>
      </c>
      <c r="AB22" s="42">
        <v>0</v>
      </c>
      <c r="AC22" s="44">
        <f t="shared" ref="AC22:AC24" si="11">AA22-AB22</f>
        <v>1207842</v>
      </c>
    </row>
    <row r="23" spans="1:29" s="37" customFormat="1" ht="13.5" customHeight="1" x14ac:dyDescent="0.25">
      <c r="B23" s="39">
        <f t="shared" ref="B23:B24" si="12">+B22+1</f>
        <v>2</v>
      </c>
      <c r="C23" s="40" t="s">
        <v>161</v>
      </c>
      <c r="D23" s="40"/>
      <c r="E23" s="40"/>
      <c r="F23" s="40" t="s">
        <v>164</v>
      </c>
      <c r="G23" s="41">
        <v>30</v>
      </c>
      <c r="H23" s="42">
        <v>404000</v>
      </c>
      <c r="I23" s="42">
        <v>102182</v>
      </c>
      <c r="J23" s="42">
        <v>4727</v>
      </c>
      <c r="K23" s="43" t="s">
        <v>107</v>
      </c>
      <c r="L23" s="42">
        <v>0</v>
      </c>
      <c r="M23" s="42">
        <v>0</v>
      </c>
      <c r="N23" s="44">
        <f>H23+I23+J23+M23+L23</f>
        <v>510909</v>
      </c>
      <c r="O23" s="42">
        <v>1</v>
      </c>
      <c r="P23" s="42">
        <v>8815</v>
      </c>
      <c r="Q23" s="42">
        <v>0</v>
      </c>
      <c r="R23" s="42">
        <v>0</v>
      </c>
      <c r="S23" s="42">
        <v>0</v>
      </c>
      <c r="T23" s="44">
        <f>N23+P23+Q23+R23</f>
        <v>519724</v>
      </c>
      <c r="U23" s="42">
        <v>58499</v>
      </c>
      <c r="V23" s="42">
        <v>35764</v>
      </c>
      <c r="W23" s="42">
        <v>0</v>
      </c>
      <c r="X23" s="42">
        <v>0</v>
      </c>
      <c r="Y23" s="42">
        <v>0</v>
      </c>
      <c r="Z23" s="44">
        <f t="shared" ref="Z23:Z24" si="13">U23+V23+W23+Y23+X23</f>
        <v>94263</v>
      </c>
      <c r="AA23" s="44">
        <f t="shared" si="10"/>
        <v>425461</v>
      </c>
      <c r="AB23" s="42">
        <v>0</v>
      </c>
      <c r="AC23" s="44">
        <f t="shared" si="11"/>
        <v>425461</v>
      </c>
    </row>
    <row r="24" spans="1:29" s="37" customFormat="1" ht="13.5" customHeight="1" x14ac:dyDescent="0.25">
      <c r="B24" s="39">
        <f t="shared" si="12"/>
        <v>3</v>
      </c>
      <c r="C24" s="40" t="s">
        <v>163</v>
      </c>
      <c r="D24" s="40"/>
      <c r="E24" s="40"/>
      <c r="F24" s="40" t="s">
        <v>171</v>
      </c>
      <c r="G24" s="41">
        <v>30</v>
      </c>
      <c r="H24" s="42">
        <v>468000</v>
      </c>
      <c r="I24" s="42">
        <v>119738</v>
      </c>
      <c r="J24" s="42">
        <v>10951</v>
      </c>
      <c r="K24" s="43" t="s">
        <v>107</v>
      </c>
      <c r="L24" s="42">
        <v>0</v>
      </c>
      <c r="M24" s="42">
        <v>0</v>
      </c>
      <c r="N24" s="44">
        <f>H24+I24+J24+M24+L24</f>
        <v>598689</v>
      </c>
      <c r="O24" s="42">
        <v>0</v>
      </c>
      <c r="P24" s="42">
        <f>O24*2052</f>
        <v>0</v>
      </c>
      <c r="Q24" s="42">
        <v>0</v>
      </c>
      <c r="R24" s="42">
        <v>0</v>
      </c>
      <c r="S24" s="42">
        <v>0</v>
      </c>
      <c r="T24" s="44">
        <f>N24+P24+Q24+R24</f>
        <v>598689</v>
      </c>
      <c r="U24" s="42">
        <v>63341</v>
      </c>
      <c r="V24" s="42">
        <v>41908</v>
      </c>
      <c r="W24" s="42">
        <v>3592</v>
      </c>
      <c r="X24" s="42">
        <v>0</v>
      </c>
      <c r="Y24" s="42">
        <v>0</v>
      </c>
      <c r="Z24" s="44">
        <f t="shared" si="13"/>
        <v>108841</v>
      </c>
      <c r="AA24" s="42">
        <f t="shared" si="10"/>
        <v>489848</v>
      </c>
      <c r="AB24" s="42">
        <v>0</v>
      </c>
      <c r="AC24" s="44">
        <f t="shared" si="11"/>
        <v>489848</v>
      </c>
    </row>
    <row r="25" spans="1:29" s="37" customFormat="1" ht="15.6" customHeight="1" thickBot="1" x14ac:dyDescent="0.3">
      <c r="B25" s="39"/>
      <c r="C25" s="40"/>
      <c r="D25" s="39"/>
      <c r="E25" s="39"/>
      <c r="G25" s="41"/>
      <c r="H25" s="45"/>
      <c r="I25" s="45"/>
      <c r="J25" s="45"/>
      <c r="K25" s="46"/>
      <c r="L25" s="45"/>
      <c r="M25" s="45"/>
      <c r="N25" s="47"/>
      <c r="O25" s="45"/>
      <c r="P25" s="45"/>
      <c r="Q25" s="45"/>
      <c r="R25" s="45"/>
      <c r="S25" s="45"/>
      <c r="T25" s="47"/>
      <c r="U25" s="45"/>
      <c r="V25" s="45"/>
      <c r="W25" s="45"/>
      <c r="X25" s="45"/>
      <c r="Y25" s="45"/>
      <c r="Z25" s="47"/>
      <c r="AA25" s="47"/>
      <c r="AB25" s="45"/>
      <c r="AC25" s="48"/>
    </row>
    <row r="26" spans="1:29" s="37" customFormat="1" ht="16.5" thickTop="1" x14ac:dyDescent="0.25">
      <c r="C26" s="39"/>
      <c r="D26" s="39"/>
      <c r="E26" s="39"/>
      <c r="F26" s="49" t="s">
        <v>108</v>
      </c>
      <c r="G26" s="41"/>
      <c r="H26" s="44">
        <f t="shared" ref="H26:AC26" si="14">SUM(H22:H25)</f>
        <v>1552000</v>
      </c>
      <c r="I26" s="44">
        <f t="shared" si="14"/>
        <v>360462</v>
      </c>
      <c r="J26" s="44">
        <f t="shared" si="14"/>
        <v>15678</v>
      </c>
      <c r="K26" s="44">
        <f t="shared" si="14"/>
        <v>0</v>
      </c>
      <c r="L26" s="44">
        <f t="shared" si="14"/>
        <v>0</v>
      </c>
      <c r="M26" s="44">
        <f t="shared" si="14"/>
        <v>556500</v>
      </c>
      <c r="N26" s="44">
        <f t="shared" si="14"/>
        <v>2484640</v>
      </c>
      <c r="O26" s="44">
        <f t="shared" si="14"/>
        <v>1</v>
      </c>
      <c r="P26" s="44">
        <f t="shared" si="14"/>
        <v>8815</v>
      </c>
      <c r="Q26" s="44">
        <f t="shared" si="14"/>
        <v>100000</v>
      </c>
      <c r="R26" s="44">
        <f t="shared" si="14"/>
        <v>100000</v>
      </c>
      <c r="S26" s="44">
        <f t="shared" si="14"/>
        <v>0</v>
      </c>
      <c r="T26" s="44">
        <f t="shared" si="14"/>
        <v>2693455</v>
      </c>
      <c r="U26" s="44">
        <f t="shared" si="14"/>
        <v>276807</v>
      </c>
      <c r="V26" s="44">
        <f t="shared" si="14"/>
        <v>194430</v>
      </c>
      <c r="W26" s="44">
        <f t="shared" si="14"/>
        <v>11842</v>
      </c>
      <c r="X26" s="44">
        <f t="shared" si="14"/>
        <v>13723</v>
      </c>
      <c r="Y26" s="44">
        <f t="shared" si="14"/>
        <v>73502</v>
      </c>
      <c r="Z26" s="44">
        <f t="shared" si="14"/>
        <v>570304</v>
      </c>
      <c r="AA26" s="44">
        <f t="shared" si="14"/>
        <v>2123151</v>
      </c>
      <c r="AB26" s="44">
        <f t="shared" si="14"/>
        <v>0</v>
      </c>
      <c r="AC26" s="44">
        <f t="shared" si="14"/>
        <v>2123151</v>
      </c>
    </row>
    <row r="27" spans="1:29" ht="21" x14ac:dyDescent="0.35">
      <c r="B27" s="32" t="s">
        <v>151</v>
      </c>
    </row>
    <row r="28" spans="1:29" ht="15.75" x14ac:dyDescent="0.25">
      <c r="B28" s="33" t="s">
        <v>67</v>
      </c>
      <c r="C28" s="33" t="s">
        <v>68</v>
      </c>
      <c r="D28" s="34"/>
      <c r="E28" s="34"/>
      <c r="F28" s="33" t="s">
        <v>69</v>
      </c>
      <c r="G28" s="35" t="s">
        <v>70</v>
      </c>
      <c r="H28" s="36" t="s">
        <v>71</v>
      </c>
      <c r="I28" s="36" t="s">
        <v>72</v>
      </c>
      <c r="J28" s="117" t="s">
        <v>73</v>
      </c>
      <c r="K28" s="36" t="s">
        <v>74</v>
      </c>
      <c r="L28" s="36" t="s">
        <v>75</v>
      </c>
      <c r="M28" s="36" t="s">
        <v>76</v>
      </c>
      <c r="N28" s="36" t="s">
        <v>71</v>
      </c>
      <c r="O28" s="36" t="s">
        <v>77</v>
      </c>
      <c r="P28" s="36" t="s">
        <v>78</v>
      </c>
      <c r="Q28" s="36" t="s">
        <v>79</v>
      </c>
      <c r="R28" s="36" t="s">
        <v>80</v>
      </c>
      <c r="S28" s="36" t="s">
        <v>81</v>
      </c>
      <c r="T28" s="36" t="s">
        <v>82</v>
      </c>
      <c r="U28" s="36" t="s">
        <v>83</v>
      </c>
      <c r="V28" s="36" t="s">
        <v>83</v>
      </c>
      <c r="W28" s="36" t="s">
        <v>84</v>
      </c>
      <c r="X28" s="36" t="s">
        <v>85</v>
      </c>
      <c r="Y28" s="36" t="s">
        <v>76</v>
      </c>
      <c r="Z28" s="36" t="s">
        <v>82</v>
      </c>
      <c r="AA28" s="36" t="s">
        <v>86</v>
      </c>
      <c r="AB28" s="36" t="s">
        <v>87</v>
      </c>
      <c r="AC28" s="36" t="s">
        <v>88</v>
      </c>
    </row>
    <row r="29" spans="1:29" ht="15.75" x14ac:dyDescent="0.25">
      <c r="A29" s="37"/>
      <c r="B29" s="38" t="s">
        <v>89</v>
      </c>
      <c r="C29" s="34"/>
      <c r="D29" s="34"/>
      <c r="E29" s="34"/>
      <c r="F29" s="34"/>
      <c r="G29" s="35" t="s">
        <v>90</v>
      </c>
      <c r="H29" s="36" t="s">
        <v>91</v>
      </c>
      <c r="I29" s="36" t="s">
        <v>92</v>
      </c>
      <c r="J29" s="117"/>
      <c r="K29" s="36" t="s">
        <v>93</v>
      </c>
      <c r="L29" s="36" t="s">
        <v>94</v>
      </c>
      <c r="M29" s="36" t="s">
        <v>95</v>
      </c>
      <c r="N29" s="36" t="s">
        <v>95</v>
      </c>
      <c r="O29" s="36" t="s">
        <v>96</v>
      </c>
      <c r="P29" s="36" t="s">
        <v>96</v>
      </c>
      <c r="Q29" s="36" t="s">
        <v>97</v>
      </c>
      <c r="R29" s="36" t="s">
        <v>98</v>
      </c>
      <c r="S29" s="36" t="s">
        <v>95</v>
      </c>
      <c r="T29" s="36" t="s">
        <v>99</v>
      </c>
      <c r="U29" s="36" t="s">
        <v>100</v>
      </c>
      <c r="V29" s="36" t="s">
        <v>101</v>
      </c>
      <c r="W29" s="36" t="s">
        <v>102</v>
      </c>
      <c r="X29" s="36" t="s">
        <v>103</v>
      </c>
      <c r="Y29" s="36" t="s">
        <v>104</v>
      </c>
      <c r="Z29" s="36" t="s">
        <v>104</v>
      </c>
      <c r="AA29" s="36" t="s">
        <v>105</v>
      </c>
      <c r="AB29" s="36" t="s">
        <v>106</v>
      </c>
      <c r="AC29" s="36" t="s">
        <v>105</v>
      </c>
    </row>
    <row r="30" spans="1:29" s="37" customFormat="1" ht="15.75" x14ac:dyDescent="0.25">
      <c r="B30" s="39">
        <v>1</v>
      </c>
      <c r="C30" s="40" t="s">
        <v>162</v>
      </c>
      <c r="D30" s="40"/>
      <c r="E30" s="40"/>
      <c r="F30" s="40" t="s">
        <v>170</v>
      </c>
      <c r="G30" s="41">
        <v>30</v>
      </c>
      <c r="H30" s="42">
        <v>680000</v>
      </c>
      <c r="I30" s="42">
        <v>138542</v>
      </c>
      <c r="J30" s="42">
        <v>0</v>
      </c>
      <c r="K30" s="43" t="s">
        <v>107</v>
      </c>
      <c r="L30" s="42">
        <v>0</v>
      </c>
      <c r="M30" s="42">
        <v>555000</v>
      </c>
      <c r="N30" s="44">
        <f>H30+I30+J30+M30+L30</f>
        <v>1373542</v>
      </c>
      <c r="O30" s="42">
        <v>0</v>
      </c>
      <c r="P30" s="42">
        <v>0</v>
      </c>
      <c r="Q30" s="42">
        <v>100000</v>
      </c>
      <c r="R30" s="42">
        <v>100000</v>
      </c>
      <c r="S30" s="42">
        <v>0</v>
      </c>
      <c r="T30" s="44">
        <f>N30+P30+Q30+R30</f>
        <v>1573542</v>
      </c>
      <c r="U30" s="42">
        <v>154798</v>
      </c>
      <c r="V30" s="42">
        <v>118409</v>
      </c>
      <c r="W30" s="42">
        <v>8241</v>
      </c>
      <c r="X30" s="42">
        <v>13032</v>
      </c>
      <c r="Y30" s="42">
        <v>73413</v>
      </c>
      <c r="Z30" s="44">
        <f>U30+V30+W30+Y30+X30</f>
        <v>367893</v>
      </c>
      <c r="AA30" s="44">
        <f t="shared" ref="AA30:AA31" si="15">T30-Z30</f>
        <v>1205649</v>
      </c>
      <c r="AB30" s="42">
        <v>0</v>
      </c>
      <c r="AC30" s="44">
        <f t="shared" ref="AC30:AC31" si="16">AA30-AB30</f>
        <v>1205649</v>
      </c>
    </row>
    <row r="31" spans="1:29" s="37" customFormat="1" ht="13.5" customHeight="1" x14ac:dyDescent="0.25">
      <c r="B31" s="39">
        <f t="shared" ref="B31" si="17">+B30+1</f>
        <v>2</v>
      </c>
      <c r="C31" s="40" t="s">
        <v>161</v>
      </c>
      <c r="D31" s="40"/>
      <c r="E31" s="40"/>
      <c r="F31" s="40" t="s">
        <v>164</v>
      </c>
      <c r="G31" s="41">
        <v>30</v>
      </c>
      <c r="H31" s="42">
        <v>404000</v>
      </c>
      <c r="I31" s="42">
        <v>115147</v>
      </c>
      <c r="J31" s="42">
        <v>9454</v>
      </c>
      <c r="K31" s="43" t="s">
        <v>107</v>
      </c>
      <c r="L31" s="42">
        <v>47133</v>
      </c>
      <c r="M31" s="42">
        <v>0</v>
      </c>
      <c r="N31" s="44">
        <f>H31+I31+J31+M31+L31</f>
        <v>575734</v>
      </c>
      <c r="O31" s="42">
        <v>1</v>
      </c>
      <c r="P31" s="42">
        <v>8815</v>
      </c>
      <c r="Q31" s="42">
        <v>0</v>
      </c>
      <c r="R31" s="42">
        <v>0</v>
      </c>
      <c r="S31" s="42">
        <v>0</v>
      </c>
      <c r="T31" s="44">
        <f>N31+P31+Q31+R31</f>
        <v>584549</v>
      </c>
      <c r="U31" s="42">
        <v>65921</v>
      </c>
      <c r="V31" s="42">
        <v>40301</v>
      </c>
      <c r="W31" s="42">
        <v>0</v>
      </c>
      <c r="X31" s="42">
        <v>0</v>
      </c>
      <c r="Y31" s="42">
        <v>0</v>
      </c>
      <c r="Z31" s="44">
        <f t="shared" ref="Z31" si="18">U31+V31+W31+Y31+X31</f>
        <v>106222</v>
      </c>
      <c r="AA31" s="44">
        <f t="shared" si="15"/>
        <v>478327</v>
      </c>
      <c r="AB31" s="42">
        <v>0</v>
      </c>
      <c r="AC31" s="44">
        <f t="shared" si="16"/>
        <v>478327</v>
      </c>
    </row>
    <row r="32" spans="1:29" s="37" customFormat="1" ht="16.5" thickBot="1" x14ac:dyDescent="0.3">
      <c r="B32" s="39"/>
      <c r="C32" s="40"/>
      <c r="D32" s="39"/>
      <c r="E32" s="39"/>
      <c r="G32" s="41"/>
      <c r="H32" s="45"/>
      <c r="I32" s="45"/>
      <c r="J32" s="45"/>
      <c r="K32" s="46"/>
      <c r="L32" s="45"/>
      <c r="M32" s="45"/>
      <c r="N32" s="47"/>
      <c r="O32" s="45"/>
      <c r="P32" s="45"/>
      <c r="Q32" s="45"/>
      <c r="R32" s="45"/>
      <c r="S32" s="45"/>
      <c r="T32" s="47"/>
      <c r="U32" s="45"/>
      <c r="V32" s="45"/>
      <c r="W32" s="45"/>
      <c r="X32" s="45"/>
      <c r="Y32" s="45"/>
      <c r="Z32" s="47"/>
      <c r="AA32" s="47"/>
      <c r="AB32" s="45"/>
      <c r="AC32" s="48"/>
    </row>
    <row r="33" spans="1:29" s="37" customFormat="1" ht="15.6" customHeight="1" thickTop="1" x14ac:dyDescent="0.25">
      <c r="C33" s="39"/>
      <c r="D33" s="39"/>
      <c r="E33" s="39"/>
      <c r="F33" s="49" t="s">
        <v>108</v>
      </c>
      <c r="G33" s="41"/>
      <c r="H33" s="44">
        <f t="shared" ref="H33:AC33" si="19">SUM(H30:H32)</f>
        <v>1084000</v>
      </c>
      <c r="I33" s="44">
        <f t="shared" si="19"/>
        <v>253689</v>
      </c>
      <c r="J33" s="44">
        <f t="shared" si="19"/>
        <v>9454</v>
      </c>
      <c r="K33" s="44">
        <f t="shared" si="19"/>
        <v>0</v>
      </c>
      <c r="L33" s="44">
        <f t="shared" si="19"/>
        <v>47133</v>
      </c>
      <c r="M33" s="44">
        <f t="shared" si="19"/>
        <v>555000</v>
      </c>
      <c r="N33" s="44">
        <f t="shared" si="19"/>
        <v>1949276</v>
      </c>
      <c r="O33" s="44">
        <f t="shared" si="19"/>
        <v>1</v>
      </c>
      <c r="P33" s="44">
        <f t="shared" si="19"/>
        <v>8815</v>
      </c>
      <c r="Q33" s="44">
        <f t="shared" si="19"/>
        <v>100000</v>
      </c>
      <c r="R33" s="44">
        <f t="shared" si="19"/>
        <v>100000</v>
      </c>
      <c r="S33" s="44">
        <f t="shared" si="19"/>
        <v>0</v>
      </c>
      <c r="T33" s="44">
        <f t="shared" si="19"/>
        <v>2158091</v>
      </c>
      <c r="U33" s="44">
        <f t="shared" si="19"/>
        <v>220719</v>
      </c>
      <c r="V33" s="44">
        <f t="shared" si="19"/>
        <v>158710</v>
      </c>
      <c r="W33" s="44">
        <f t="shared" si="19"/>
        <v>8241</v>
      </c>
      <c r="X33" s="44">
        <f t="shared" si="19"/>
        <v>13032</v>
      </c>
      <c r="Y33" s="44">
        <f t="shared" si="19"/>
        <v>73413</v>
      </c>
      <c r="Z33" s="44">
        <f t="shared" si="19"/>
        <v>474115</v>
      </c>
      <c r="AA33" s="44">
        <f t="shared" si="19"/>
        <v>1683976</v>
      </c>
      <c r="AB33" s="44">
        <f t="shared" si="19"/>
        <v>0</v>
      </c>
      <c r="AC33" s="44">
        <f t="shared" si="19"/>
        <v>1683976</v>
      </c>
    </row>
    <row r="34" spans="1:29" ht="21" x14ac:dyDescent="0.35">
      <c r="B34" s="32" t="s">
        <v>165</v>
      </c>
    </row>
    <row r="35" spans="1:29" ht="15.75" x14ac:dyDescent="0.25">
      <c r="B35" s="33" t="s">
        <v>67</v>
      </c>
      <c r="C35" s="33" t="s">
        <v>68</v>
      </c>
      <c r="D35" s="34"/>
      <c r="E35" s="34"/>
      <c r="F35" s="33" t="s">
        <v>69</v>
      </c>
      <c r="G35" s="35" t="s">
        <v>70</v>
      </c>
      <c r="H35" s="36" t="s">
        <v>71</v>
      </c>
      <c r="I35" s="36" t="s">
        <v>72</v>
      </c>
      <c r="J35" s="117" t="s">
        <v>73</v>
      </c>
      <c r="K35" s="36" t="s">
        <v>74</v>
      </c>
      <c r="L35" s="36" t="s">
        <v>75</v>
      </c>
      <c r="M35" s="36" t="s">
        <v>76</v>
      </c>
      <c r="N35" s="36" t="s">
        <v>71</v>
      </c>
      <c r="O35" s="36" t="s">
        <v>77</v>
      </c>
      <c r="P35" s="36" t="s">
        <v>78</v>
      </c>
      <c r="Q35" s="36" t="s">
        <v>79</v>
      </c>
      <c r="R35" s="36" t="s">
        <v>80</v>
      </c>
      <c r="S35" s="36" t="s">
        <v>81</v>
      </c>
      <c r="T35" s="36" t="s">
        <v>82</v>
      </c>
      <c r="U35" s="36" t="s">
        <v>83</v>
      </c>
      <c r="V35" s="36" t="s">
        <v>83</v>
      </c>
      <c r="W35" s="36" t="s">
        <v>84</v>
      </c>
      <c r="X35" s="36" t="s">
        <v>85</v>
      </c>
      <c r="Y35" s="36" t="s">
        <v>76</v>
      </c>
      <c r="Z35" s="36" t="s">
        <v>82</v>
      </c>
      <c r="AA35" s="36" t="s">
        <v>86</v>
      </c>
      <c r="AB35" s="36" t="s">
        <v>87</v>
      </c>
      <c r="AC35" s="36" t="s">
        <v>88</v>
      </c>
    </row>
    <row r="36" spans="1:29" ht="15.75" x14ac:dyDescent="0.25">
      <c r="A36" s="37"/>
      <c r="B36" s="38" t="s">
        <v>89</v>
      </c>
      <c r="C36" s="34"/>
      <c r="D36" s="34"/>
      <c r="E36" s="34"/>
      <c r="F36" s="34"/>
      <c r="G36" s="35" t="s">
        <v>90</v>
      </c>
      <c r="H36" s="36" t="s">
        <v>91</v>
      </c>
      <c r="I36" s="36" t="s">
        <v>92</v>
      </c>
      <c r="J36" s="117"/>
      <c r="K36" s="36" t="s">
        <v>93</v>
      </c>
      <c r="L36" s="36" t="s">
        <v>94</v>
      </c>
      <c r="M36" s="36" t="s">
        <v>95</v>
      </c>
      <c r="N36" s="36" t="s">
        <v>95</v>
      </c>
      <c r="O36" s="36" t="s">
        <v>96</v>
      </c>
      <c r="P36" s="36" t="s">
        <v>96</v>
      </c>
      <c r="Q36" s="36" t="s">
        <v>97</v>
      </c>
      <c r="R36" s="36" t="s">
        <v>98</v>
      </c>
      <c r="S36" s="36" t="s">
        <v>95</v>
      </c>
      <c r="T36" s="36" t="s">
        <v>99</v>
      </c>
      <c r="U36" s="36" t="s">
        <v>100</v>
      </c>
      <c r="V36" s="36" t="s">
        <v>101</v>
      </c>
      <c r="W36" s="36" t="s">
        <v>102</v>
      </c>
      <c r="X36" s="36" t="s">
        <v>103</v>
      </c>
      <c r="Y36" s="36" t="s">
        <v>104</v>
      </c>
      <c r="Z36" s="36" t="s">
        <v>104</v>
      </c>
      <c r="AA36" s="36" t="s">
        <v>105</v>
      </c>
      <c r="AB36" s="36" t="s">
        <v>106</v>
      </c>
      <c r="AC36" s="36" t="s">
        <v>105</v>
      </c>
    </row>
    <row r="37" spans="1:29" s="37" customFormat="1" ht="13.5" customHeight="1" x14ac:dyDescent="0.25">
      <c r="B37" s="39">
        <v>1</v>
      </c>
      <c r="C37" s="40" t="s">
        <v>162</v>
      </c>
      <c r="D37" s="40"/>
      <c r="E37" s="40"/>
      <c r="F37" s="40" t="s">
        <v>170</v>
      </c>
      <c r="G37" s="41">
        <v>30</v>
      </c>
      <c r="H37" s="42">
        <v>680000</v>
      </c>
      <c r="I37" s="42">
        <v>150417</v>
      </c>
      <c r="J37" s="42">
        <v>15912</v>
      </c>
      <c r="K37" s="43" t="s">
        <v>107</v>
      </c>
      <c r="L37" s="42">
        <v>79333</v>
      </c>
      <c r="M37" s="42">
        <v>513000</v>
      </c>
      <c r="N37" s="44">
        <f>H37+I37+J37+M37+L37</f>
        <v>1438662</v>
      </c>
      <c r="O37" s="42">
        <v>0</v>
      </c>
      <c r="P37" s="42">
        <v>0</v>
      </c>
      <c r="Q37" s="42">
        <v>100000</v>
      </c>
      <c r="R37" s="42">
        <v>100000</v>
      </c>
      <c r="S37" s="42">
        <v>0</v>
      </c>
      <c r="T37" s="44">
        <f>N37+P37+Q37+R37</f>
        <v>1638662</v>
      </c>
      <c r="U37" s="42">
        <v>162137</v>
      </c>
      <c r="V37" s="42">
        <v>133496</v>
      </c>
      <c r="W37" s="42">
        <v>8632</v>
      </c>
      <c r="X37" s="42">
        <v>14724</v>
      </c>
      <c r="Y37" s="42">
        <v>74682</v>
      </c>
      <c r="Z37" s="44">
        <f>U37+V37+W37+Y37+X37</f>
        <v>393671</v>
      </c>
      <c r="AA37" s="44">
        <f t="shared" ref="AA37:AA39" si="20">T37-Z37</f>
        <v>1244991</v>
      </c>
      <c r="AB37" s="42">
        <v>0</v>
      </c>
      <c r="AC37" s="44">
        <f t="shared" ref="AC37:AC39" si="21">AA37-AB37</f>
        <v>1244991</v>
      </c>
    </row>
    <row r="38" spans="1:29" s="37" customFormat="1" ht="13.5" customHeight="1" x14ac:dyDescent="0.25">
      <c r="B38" s="39">
        <f t="shared" ref="B38:B39" si="22">+B37+1</f>
        <v>2</v>
      </c>
      <c r="C38" s="40" t="s">
        <v>161</v>
      </c>
      <c r="D38" s="40"/>
      <c r="E38" s="40"/>
      <c r="F38" s="40" t="s">
        <v>164</v>
      </c>
      <c r="G38" s="41">
        <v>30</v>
      </c>
      <c r="H38" s="42">
        <v>404000</v>
      </c>
      <c r="I38" s="42">
        <v>116328</v>
      </c>
      <c r="J38" s="42">
        <v>14180</v>
      </c>
      <c r="K38" s="43" t="s">
        <v>107</v>
      </c>
      <c r="L38" s="42">
        <v>47133</v>
      </c>
      <c r="M38" s="42">
        <v>0</v>
      </c>
      <c r="N38" s="44">
        <f>H38+I38+J38+M38+L38</f>
        <v>581641</v>
      </c>
      <c r="O38" s="42">
        <v>1</v>
      </c>
      <c r="P38" s="42">
        <v>9571</v>
      </c>
      <c r="Q38" s="42">
        <v>0</v>
      </c>
      <c r="R38" s="42">
        <v>0</v>
      </c>
      <c r="S38" s="42">
        <v>0</v>
      </c>
      <c r="T38" s="44">
        <f>N38+P38+Q38+R38</f>
        <v>591212</v>
      </c>
      <c r="U38" s="42">
        <v>66598</v>
      </c>
      <c r="V38" s="42">
        <v>40715</v>
      </c>
      <c r="W38" s="42">
        <v>0</v>
      </c>
      <c r="X38" s="42">
        <v>0</v>
      </c>
      <c r="Y38" s="42">
        <v>0</v>
      </c>
      <c r="Z38" s="44">
        <f t="shared" ref="Z38:Z39" si="23">U38+V38+W38+Y38+X38</f>
        <v>107313</v>
      </c>
      <c r="AA38" s="44">
        <f t="shared" si="20"/>
        <v>483899</v>
      </c>
      <c r="AB38" s="42">
        <v>0</v>
      </c>
      <c r="AC38" s="44">
        <f t="shared" si="21"/>
        <v>483899</v>
      </c>
    </row>
    <row r="39" spans="1:29" s="37" customFormat="1" ht="15.75" x14ac:dyDescent="0.25">
      <c r="B39" s="39">
        <f t="shared" si="22"/>
        <v>3</v>
      </c>
      <c r="C39" s="40" t="s">
        <v>163</v>
      </c>
      <c r="D39" s="40"/>
      <c r="E39" s="40"/>
      <c r="F39" s="40" t="s">
        <v>171</v>
      </c>
      <c r="G39" s="41">
        <v>30</v>
      </c>
      <c r="H39" s="42">
        <v>468000</v>
      </c>
      <c r="I39" s="42">
        <v>134757</v>
      </c>
      <c r="J39" s="42">
        <v>16427</v>
      </c>
      <c r="K39" s="43" t="s">
        <v>107</v>
      </c>
      <c r="L39" s="42">
        <v>54599</v>
      </c>
      <c r="M39" s="42">
        <v>0</v>
      </c>
      <c r="N39" s="44">
        <f>H39+I39+J39+M39+L39</f>
        <v>673783</v>
      </c>
      <c r="O39" s="42">
        <v>0</v>
      </c>
      <c r="P39" s="42">
        <f>O39*2052</f>
        <v>0</v>
      </c>
      <c r="Q39" s="42">
        <v>0</v>
      </c>
      <c r="R39" s="42">
        <v>0</v>
      </c>
      <c r="S39" s="42">
        <v>0</v>
      </c>
      <c r="T39" s="44">
        <f>N39+P39+Q39+R39</f>
        <v>673783</v>
      </c>
      <c r="U39" s="42">
        <v>71286</v>
      </c>
      <c r="V39" s="42">
        <v>47165</v>
      </c>
      <c r="W39" s="42">
        <v>4043</v>
      </c>
      <c r="X39" s="42">
        <v>0</v>
      </c>
      <c r="Y39" s="42">
        <v>0</v>
      </c>
      <c r="Z39" s="44">
        <f t="shared" si="23"/>
        <v>122494</v>
      </c>
      <c r="AA39" s="42">
        <f t="shared" si="20"/>
        <v>551289</v>
      </c>
      <c r="AB39" s="42">
        <v>0</v>
      </c>
      <c r="AC39" s="44">
        <f t="shared" si="21"/>
        <v>551289</v>
      </c>
    </row>
    <row r="40" spans="1:29" s="37" customFormat="1" ht="16.5" thickBot="1" x14ac:dyDescent="0.3">
      <c r="B40" s="39"/>
      <c r="C40" s="40"/>
      <c r="D40" s="39"/>
      <c r="E40" s="39"/>
      <c r="G40" s="41"/>
      <c r="H40" s="45"/>
      <c r="I40" s="45"/>
      <c r="J40" s="45"/>
      <c r="K40" s="46"/>
      <c r="L40" s="45"/>
      <c r="M40" s="45"/>
      <c r="N40" s="47"/>
      <c r="O40" s="45"/>
      <c r="P40" s="45"/>
      <c r="Q40" s="45"/>
      <c r="R40" s="45"/>
      <c r="S40" s="45"/>
      <c r="T40" s="47"/>
      <c r="U40" s="45"/>
      <c r="V40" s="45"/>
      <c r="W40" s="45"/>
      <c r="X40" s="45"/>
      <c r="Y40" s="45"/>
      <c r="Z40" s="47"/>
      <c r="AA40" s="47"/>
      <c r="AB40" s="45"/>
      <c r="AC40" s="48"/>
    </row>
    <row r="41" spans="1:29" s="37" customFormat="1" ht="15.6" customHeight="1" thickTop="1" x14ac:dyDescent="0.25">
      <c r="C41" s="39"/>
      <c r="D41" s="39"/>
      <c r="E41" s="39"/>
      <c r="F41" s="49" t="s">
        <v>108</v>
      </c>
      <c r="G41" s="41"/>
      <c r="H41" s="44">
        <f t="shared" ref="H41:AC41" si="24">SUM(H37:H40)</f>
        <v>1552000</v>
      </c>
      <c r="I41" s="44">
        <f t="shared" si="24"/>
        <v>401502</v>
      </c>
      <c r="J41" s="44">
        <f t="shared" si="24"/>
        <v>46519</v>
      </c>
      <c r="K41" s="44">
        <f t="shared" si="24"/>
        <v>0</v>
      </c>
      <c r="L41" s="44">
        <f t="shared" si="24"/>
        <v>181065</v>
      </c>
      <c r="M41" s="44">
        <f t="shared" si="24"/>
        <v>513000</v>
      </c>
      <c r="N41" s="44">
        <f t="shared" si="24"/>
        <v>2694086</v>
      </c>
      <c r="O41" s="44">
        <f t="shared" si="24"/>
        <v>1</v>
      </c>
      <c r="P41" s="44">
        <f t="shared" si="24"/>
        <v>9571</v>
      </c>
      <c r="Q41" s="44">
        <f t="shared" si="24"/>
        <v>100000</v>
      </c>
      <c r="R41" s="44">
        <f t="shared" si="24"/>
        <v>100000</v>
      </c>
      <c r="S41" s="44">
        <f t="shared" si="24"/>
        <v>0</v>
      </c>
      <c r="T41" s="44">
        <f t="shared" si="24"/>
        <v>2903657</v>
      </c>
      <c r="U41" s="44">
        <f t="shared" si="24"/>
        <v>300021</v>
      </c>
      <c r="V41" s="44">
        <f t="shared" si="24"/>
        <v>221376</v>
      </c>
      <c r="W41" s="44">
        <f t="shared" si="24"/>
        <v>12675</v>
      </c>
      <c r="X41" s="44">
        <f t="shared" si="24"/>
        <v>14724</v>
      </c>
      <c r="Y41" s="44">
        <f t="shared" si="24"/>
        <v>74682</v>
      </c>
      <c r="Z41" s="44">
        <f t="shared" si="24"/>
        <v>623478</v>
      </c>
      <c r="AA41" s="44">
        <f t="shared" si="24"/>
        <v>2280179</v>
      </c>
      <c r="AB41" s="44">
        <f t="shared" si="24"/>
        <v>0</v>
      </c>
      <c r="AC41" s="44">
        <f t="shared" si="24"/>
        <v>2280179</v>
      </c>
    </row>
    <row r="42" spans="1:29" ht="21" x14ac:dyDescent="0.35">
      <c r="B42" s="32" t="s">
        <v>166</v>
      </c>
    </row>
    <row r="43" spans="1:29" ht="13.5" customHeight="1" x14ac:dyDescent="0.25">
      <c r="B43" s="33" t="s">
        <v>67</v>
      </c>
      <c r="C43" s="33" t="s">
        <v>68</v>
      </c>
      <c r="D43" s="34"/>
      <c r="E43" s="34"/>
      <c r="F43" s="33" t="s">
        <v>69</v>
      </c>
      <c r="G43" s="35" t="s">
        <v>70</v>
      </c>
      <c r="H43" s="36" t="s">
        <v>71</v>
      </c>
      <c r="I43" s="36" t="s">
        <v>72</v>
      </c>
      <c r="J43" s="117" t="s">
        <v>73</v>
      </c>
      <c r="K43" s="36" t="s">
        <v>74</v>
      </c>
      <c r="L43" s="36" t="s">
        <v>75</v>
      </c>
      <c r="M43" s="36" t="s">
        <v>76</v>
      </c>
      <c r="N43" s="36" t="s">
        <v>71</v>
      </c>
      <c r="O43" s="36" t="s">
        <v>77</v>
      </c>
      <c r="P43" s="36" t="s">
        <v>78</v>
      </c>
      <c r="Q43" s="36" t="s">
        <v>79</v>
      </c>
      <c r="R43" s="36" t="s">
        <v>80</v>
      </c>
      <c r="S43" s="36" t="s">
        <v>81</v>
      </c>
      <c r="T43" s="36" t="s">
        <v>82</v>
      </c>
      <c r="U43" s="36" t="s">
        <v>83</v>
      </c>
      <c r="V43" s="36" t="s">
        <v>83</v>
      </c>
      <c r="W43" s="36" t="s">
        <v>84</v>
      </c>
      <c r="X43" s="36" t="s">
        <v>85</v>
      </c>
      <c r="Y43" s="36" t="s">
        <v>76</v>
      </c>
      <c r="Z43" s="36" t="s">
        <v>82</v>
      </c>
      <c r="AA43" s="36" t="s">
        <v>86</v>
      </c>
      <c r="AB43" s="36" t="s">
        <v>87</v>
      </c>
      <c r="AC43" s="36" t="s">
        <v>88</v>
      </c>
    </row>
    <row r="44" spans="1:29" ht="13.5" customHeight="1" x14ac:dyDescent="0.25">
      <c r="A44" s="37"/>
      <c r="B44" s="38" t="s">
        <v>89</v>
      </c>
      <c r="C44" s="34"/>
      <c r="D44" s="34"/>
      <c r="E44" s="34"/>
      <c r="F44" s="34"/>
      <c r="G44" s="35" t="s">
        <v>90</v>
      </c>
      <c r="H44" s="36" t="s">
        <v>91</v>
      </c>
      <c r="I44" s="36" t="s">
        <v>92</v>
      </c>
      <c r="J44" s="117"/>
      <c r="K44" s="36" t="s">
        <v>93</v>
      </c>
      <c r="L44" s="36" t="s">
        <v>94</v>
      </c>
      <c r="M44" s="36" t="s">
        <v>95</v>
      </c>
      <c r="N44" s="36" t="s">
        <v>95</v>
      </c>
      <c r="O44" s="36" t="s">
        <v>96</v>
      </c>
      <c r="P44" s="36" t="s">
        <v>96</v>
      </c>
      <c r="Q44" s="36" t="s">
        <v>97</v>
      </c>
      <c r="R44" s="36" t="s">
        <v>98</v>
      </c>
      <c r="S44" s="36" t="s">
        <v>95</v>
      </c>
      <c r="T44" s="36" t="s">
        <v>99</v>
      </c>
      <c r="U44" s="36" t="s">
        <v>100</v>
      </c>
      <c r="V44" s="36" t="s">
        <v>101</v>
      </c>
      <c r="W44" s="36" t="s">
        <v>102</v>
      </c>
      <c r="X44" s="36" t="s">
        <v>103</v>
      </c>
      <c r="Y44" s="36" t="s">
        <v>104</v>
      </c>
      <c r="Z44" s="36" t="s">
        <v>104</v>
      </c>
      <c r="AA44" s="36" t="s">
        <v>105</v>
      </c>
      <c r="AB44" s="36" t="s">
        <v>106</v>
      </c>
      <c r="AC44" s="36" t="s">
        <v>105</v>
      </c>
    </row>
    <row r="45" spans="1:29" s="37" customFormat="1" ht="15.75" x14ac:dyDescent="0.25">
      <c r="B45" s="39">
        <v>1</v>
      </c>
      <c r="C45" s="40" t="s">
        <v>162</v>
      </c>
      <c r="D45" s="40"/>
      <c r="E45" s="40"/>
      <c r="F45" s="40" t="s">
        <v>170</v>
      </c>
      <c r="G45" s="41">
        <v>30</v>
      </c>
      <c r="H45" s="42">
        <v>680000</v>
      </c>
      <c r="I45" s="42">
        <v>150417</v>
      </c>
      <c r="J45" s="42">
        <v>15912</v>
      </c>
      <c r="K45" s="43" t="s">
        <v>107</v>
      </c>
      <c r="L45" s="42">
        <v>39666</v>
      </c>
      <c r="M45" s="42">
        <v>511000</v>
      </c>
      <c r="N45" s="44">
        <f>H45+I45+J45+M45+L45</f>
        <v>1396995</v>
      </c>
      <c r="O45" s="42">
        <v>0</v>
      </c>
      <c r="P45" s="42">
        <v>0</v>
      </c>
      <c r="Q45" s="42">
        <v>100000</v>
      </c>
      <c r="R45" s="42">
        <v>100000</v>
      </c>
      <c r="S45" s="42">
        <v>0</v>
      </c>
      <c r="T45" s="44">
        <f>N45+P45+Q45+R45</f>
        <v>1596995</v>
      </c>
      <c r="U45" s="42">
        <v>157441</v>
      </c>
      <c r="V45" s="42">
        <v>117624</v>
      </c>
      <c r="W45" s="42">
        <v>8382</v>
      </c>
      <c r="X45" s="42">
        <v>13461</v>
      </c>
      <c r="Y45" s="42">
        <v>74056</v>
      </c>
      <c r="Z45" s="44">
        <f>U45+V45+W45+Y45+X45</f>
        <v>370964</v>
      </c>
      <c r="AA45" s="44">
        <f t="shared" ref="AA45:AA48" si="25">T45-Z45</f>
        <v>1226031</v>
      </c>
      <c r="AB45" s="42">
        <v>0</v>
      </c>
      <c r="AC45" s="44">
        <f t="shared" ref="AC45:AC48" si="26">AA45-AB45</f>
        <v>1226031</v>
      </c>
    </row>
    <row r="46" spans="1:29" s="37" customFormat="1" ht="13.5" customHeight="1" x14ac:dyDescent="0.25">
      <c r="B46" s="39">
        <f t="shared" ref="B46:B48" si="27">+B45+1</f>
        <v>2</v>
      </c>
      <c r="C46" s="40" t="s">
        <v>161</v>
      </c>
      <c r="D46" s="40"/>
      <c r="E46" s="40"/>
      <c r="F46" s="40" t="s">
        <v>164</v>
      </c>
      <c r="G46" s="41">
        <v>30</v>
      </c>
      <c r="H46" s="42">
        <v>404000</v>
      </c>
      <c r="I46" s="42">
        <v>116328</v>
      </c>
      <c r="J46" s="42">
        <v>14180</v>
      </c>
      <c r="K46" s="43" t="s">
        <v>107</v>
      </c>
      <c r="L46" s="42">
        <v>47133</v>
      </c>
      <c r="M46" s="42">
        <v>0</v>
      </c>
      <c r="N46" s="44">
        <f>H46+I46+J46+M46+L46</f>
        <v>581641</v>
      </c>
      <c r="O46" s="42">
        <v>1</v>
      </c>
      <c r="P46" s="42">
        <v>9571</v>
      </c>
      <c r="Q46" s="42">
        <v>0</v>
      </c>
      <c r="R46" s="42">
        <v>0</v>
      </c>
      <c r="S46" s="42">
        <v>0</v>
      </c>
      <c r="T46" s="44">
        <f>N46+P46+Q46+R46</f>
        <v>591212</v>
      </c>
      <c r="U46" s="42">
        <v>66598</v>
      </c>
      <c r="V46" s="42">
        <v>40715</v>
      </c>
      <c r="W46" s="42">
        <v>0</v>
      </c>
      <c r="X46" s="42">
        <v>0</v>
      </c>
      <c r="Y46" s="42">
        <v>0</v>
      </c>
      <c r="Z46" s="44">
        <f t="shared" ref="Z46:Z48" si="28">U46+V46+W46+Y46+X46</f>
        <v>107313</v>
      </c>
      <c r="AA46" s="44">
        <f t="shared" si="25"/>
        <v>483899</v>
      </c>
      <c r="AB46" s="42">
        <v>0</v>
      </c>
      <c r="AC46" s="44">
        <f t="shared" si="26"/>
        <v>483899</v>
      </c>
    </row>
    <row r="47" spans="1:29" s="37" customFormat="1" ht="15.75" x14ac:dyDescent="0.25">
      <c r="B47" s="39">
        <f t="shared" si="27"/>
        <v>3</v>
      </c>
      <c r="C47" s="40" t="s">
        <v>163</v>
      </c>
      <c r="D47" s="40"/>
      <c r="E47" s="40"/>
      <c r="F47" s="40" t="s">
        <v>171</v>
      </c>
      <c r="G47" s="41">
        <v>30</v>
      </c>
      <c r="H47" s="42">
        <v>468000</v>
      </c>
      <c r="I47" s="42">
        <v>134757</v>
      </c>
      <c r="J47" s="42">
        <v>16427</v>
      </c>
      <c r="K47" s="43" t="s">
        <v>107</v>
      </c>
      <c r="L47" s="42">
        <v>54599</v>
      </c>
      <c r="M47" s="42">
        <v>0</v>
      </c>
      <c r="N47" s="44">
        <f>H47+I47+J47+M47+L47</f>
        <v>673783</v>
      </c>
      <c r="O47" s="42">
        <v>0</v>
      </c>
      <c r="P47" s="42">
        <f>O47*2052</f>
        <v>0</v>
      </c>
      <c r="Q47" s="42">
        <v>0</v>
      </c>
      <c r="R47" s="42">
        <v>0</v>
      </c>
      <c r="S47" s="42">
        <v>0</v>
      </c>
      <c r="T47" s="44">
        <f>N47+P47+Q47+R47</f>
        <v>673783</v>
      </c>
      <c r="U47" s="42">
        <v>71286</v>
      </c>
      <c r="V47" s="42">
        <v>47165</v>
      </c>
      <c r="W47" s="42">
        <v>4043</v>
      </c>
      <c r="X47" s="42">
        <v>0</v>
      </c>
      <c r="Y47" s="42">
        <v>0</v>
      </c>
      <c r="Z47" s="44">
        <f t="shared" si="28"/>
        <v>122494</v>
      </c>
      <c r="AA47" s="42">
        <f t="shared" si="25"/>
        <v>551289</v>
      </c>
      <c r="AB47" s="42">
        <v>0</v>
      </c>
      <c r="AC47" s="44">
        <f t="shared" si="26"/>
        <v>551289</v>
      </c>
    </row>
    <row r="48" spans="1:29" s="37" customFormat="1" ht="15.75" x14ac:dyDescent="0.25">
      <c r="B48" s="39">
        <f t="shared" si="27"/>
        <v>4</v>
      </c>
      <c r="C48" s="40" t="s">
        <v>168</v>
      </c>
      <c r="D48" s="40"/>
      <c r="E48" s="40"/>
      <c r="F48" s="40" t="s">
        <v>169</v>
      </c>
      <c r="G48" s="41">
        <v>30</v>
      </c>
      <c r="H48" s="42">
        <v>404000</v>
      </c>
      <c r="I48" s="42">
        <v>106892</v>
      </c>
      <c r="J48" s="42">
        <v>0</v>
      </c>
      <c r="K48" s="43" t="s">
        <v>107</v>
      </c>
      <c r="L48" s="42">
        <v>23566</v>
      </c>
      <c r="M48" s="42">
        <v>0</v>
      </c>
      <c r="N48" s="44">
        <f>H48+I48+J48+M48+L48</f>
        <v>534458</v>
      </c>
      <c r="O48" s="42">
        <v>2</v>
      </c>
      <c r="P48" s="42">
        <v>31194</v>
      </c>
      <c r="Q48" s="42">
        <v>0</v>
      </c>
      <c r="R48" s="42">
        <v>0</v>
      </c>
      <c r="S48" s="42">
        <v>0</v>
      </c>
      <c r="T48" s="44">
        <f>N48+P48+Q48+R48</f>
        <v>565652</v>
      </c>
      <c r="U48" s="42">
        <v>61142</v>
      </c>
      <c r="V48" s="42">
        <v>37412</v>
      </c>
      <c r="W48" s="42">
        <v>3207</v>
      </c>
      <c r="X48" s="42">
        <v>0</v>
      </c>
      <c r="Y48" s="42">
        <v>0</v>
      </c>
      <c r="Z48" s="44">
        <f t="shared" si="28"/>
        <v>101761</v>
      </c>
      <c r="AA48" s="42">
        <f t="shared" si="25"/>
        <v>463891</v>
      </c>
      <c r="AB48" s="42">
        <v>0</v>
      </c>
      <c r="AC48" s="44">
        <f t="shared" si="26"/>
        <v>463891</v>
      </c>
    </row>
    <row r="49" spans="1:29" s="37" customFormat="1" ht="15.75" x14ac:dyDescent="0.25">
      <c r="C49" s="39"/>
      <c r="D49" s="39"/>
      <c r="E49" s="39"/>
      <c r="F49" s="49" t="s">
        <v>108</v>
      </c>
      <c r="G49" s="41"/>
      <c r="H49" s="44">
        <f t="shared" ref="H49:AC49" si="29">SUM(H45:H48)</f>
        <v>1956000</v>
      </c>
      <c r="I49" s="44">
        <f t="shared" si="29"/>
        <v>508394</v>
      </c>
      <c r="J49" s="44">
        <f t="shared" si="29"/>
        <v>46519</v>
      </c>
      <c r="K49" s="44">
        <f t="shared" si="29"/>
        <v>0</v>
      </c>
      <c r="L49" s="44">
        <f t="shared" si="29"/>
        <v>164964</v>
      </c>
      <c r="M49" s="44">
        <f t="shared" si="29"/>
        <v>511000</v>
      </c>
      <c r="N49" s="44">
        <f t="shared" si="29"/>
        <v>3186877</v>
      </c>
      <c r="O49" s="44">
        <f t="shared" si="29"/>
        <v>3</v>
      </c>
      <c r="P49" s="44">
        <f t="shared" si="29"/>
        <v>40765</v>
      </c>
      <c r="Q49" s="44">
        <f t="shared" si="29"/>
        <v>100000</v>
      </c>
      <c r="R49" s="44">
        <f t="shared" si="29"/>
        <v>100000</v>
      </c>
      <c r="S49" s="44">
        <f t="shared" si="29"/>
        <v>0</v>
      </c>
      <c r="T49" s="44">
        <f t="shared" si="29"/>
        <v>3427642</v>
      </c>
      <c r="U49" s="44">
        <f t="shared" si="29"/>
        <v>356467</v>
      </c>
      <c r="V49" s="44">
        <f t="shared" si="29"/>
        <v>242916</v>
      </c>
      <c r="W49" s="44">
        <f t="shared" si="29"/>
        <v>15632</v>
      </c>
      <c r="X49" s="44">
        <f t="shared" si="29"/>
        <v>13461</v>
      </c>
      <c r="Y49" s="44">
        <f t="shared" si="29"/>
        <v>74056</v>
      </c>
      <c r="Z49" s="44">
        <f t="shared" si="29"/>
        <v>702532</v>
      </c>
      <c r="AA49" s="44">
        <f t="shared" si="29"/>
        <v>2725110</v>
      </c>
      <c r="AB49" s="44">
        <f t="shared" si="29"/>
        <v>0</v>
      </c>
      <c r="AC49" s="44">
        <f t="shared" si="29"/>
        <v>2725110</v>
      </c>
    </row>
    <row r="50" spans="1:29" ht="21" x14ac:dyDescent="0.35">
      <c r="B50" s="32" t="s">
        <v>109</v>
      </c>
    </row>
    <row r="51" spans="1:29" ht="15.75" x14ac:dyDescent="0.25">
      <c r="B51" s="33" t="s">
        <v>67</v>
      </c>
      <c r="C51" s="33" t="s">
        <v>68</v>
      </c>
      <c r="D51" s="34"/>
      <c r="E51" s="34"/>
      <c r="F51" s="33" t="s">
        <v>69</v>
      </c>
      <c r="G51" s="35" t="s">
        <v>70</v>
      </c>
      <c r="H51" s="36" t="s">
        <v>71</v>
      </c>
      <c r="I51" s="36" t="s">
        <v>72</v>
      </c>
      <c r="J51" s="117" t="s">
        <v>73</v>
      </c>
      <c r="K51" s="36" t="s">
        <v>74</v>
      </c>
      <c r="L51" s="36" t="s">
        <v>75</v>
      </c>
      <c r="M51" s="36" t="s">
        <v>76</v>
      </c>
      <c r="N51" s="36" t="s">
        <v>71</v>
      </c>
      <c r="O51" s="36" t="s">
        <v>77</v>
      </c>
      <c r="P51" s="36" t="s">
        <v>78</v>
      </c>
      <c r="Q51" s="36" t="s">
        <v>79</v>
      </c>
      <c r="R51" s="36" t="s">
        <v>80</v>
      </c>
      <c r="S51" s="36" t="s">
        <v>81</v>
      </c>
      <c r="T51" s="36" t="s">
        <v>82</v>
      </c>
      <c r="U51" s="36" t="s">
        <v>83</v>
      </c>
      <c r="V51" s="36" t="s">
        <v>83</v>
      </c>
      <c r="W51" s="36" t="s">
        <v>84</v>
      </c>
      <c r="X51" s="36" t="s">
        <v>85</v>
      </c>
      <c r="Y51" s="36" t="s">
        <v>76</v>
      </c>
      <c r="Z51" s="36" t="s">
        <v>82</v>
      </c>
      <c r="AA51" s="36" t="s">
        <v>86</v>
      </c>
      <c r="AB51" s="36" t="s">
        <v>87</v>
      </c>
      <c r="AC51" s="36" t="s">
        <v>88</v>
      </c>
    </row>
    <row r="52" spans="1:29" ht="15.75" x14ac:dyDescent="0.25">
      <c r="A52" s="37"/>
      <c r="B52" s="38" t="s">
        <v>89</v>
      </c>
      <c r="C52" s="34"/>
      <c r="D52" s="34"/>
      <c r="E52" s="34"/>
      <c r="F52" s="34"/>
      <c r="G52" s="35" t="s">
        <v>90</v>
      </c>
      <c r="H52" s="36" t="s">
        <v>91</v>
      </c>
      <c r="I52" s="36" t="s">
        <v>92</v>
      </c>
      <c r="J52" s="117"/>
      <c r="K52" s="36" t="s">
        <v>93</v>
      </c>
      <c r="L52" s="36" t="s">
        <v>94</v>
      </c>
      <c r="M52" s="36" t="s">
        <v>95</v>
      </c>
      <c r="N52" s="36" t="s">
        <v>95</v>
      </c>
      <c r="O52" s="36" t="s">
        <v>96</v>
      </c>
      <c r="P52" s="36" t="s">
        <v>96</v>
      </c>
      <c r="Q52" s="36" t="s">
        <v>97</v>
      </c>
      <c r="R52" s="36" t="s">
        <v>98</v>
      </c>
      <c r="S52" s="36" t="s">
        <v>95</v>
      </c>
      <c r="T52" s="36" t="s">
        <v>99</v>
      </c>
      <c r="U52" s="36" t="s">
        <v>100</v>
      </c>
      <c r="V52" s="36" t="s">
        <v>101</v>
      </c>
      <c r="W52" s="36" t="s">
        <v>102</v>
      </c>
      <c r="X52" s="36" t="s">
        <v>103</v>
      </c>
      <c r="Y52" s="36" t="s">
        <v>104</v>
      </c>
      <c r="Z52" s="36" t="s">
        <v>104</v>
      </c>
      <c r="AA52" s="36" t="s">
        <v>105</v>
      </c>
      <c r="AB52" s="36" t="s">
        <v>106</v>
      </c>
      <c r="AC52" s="36" t="s">
        <v>105</v>
      </c>
    </row>
    <row r="53" spans="1:29" s="37" customFormat="1" ht="15.75" x14ac:dyDescent="0.25">
      <c r="B53" s="39">
        <v>1</v>
      </c>
      <c r="C53" s="40" t="s">
        <v>162</v>
      </c>
      <c r="D53" s="40"/>
      <c r="E53" s="40"/>
      <c r="F53" s="40" t="s">
        <v>170</v>
      </c>
      <c r="G53" s="41">
        <v>30</v>
      </c>
      <c r="H53" s="42">
        <v>680000</v>
      </c>
      <c r="I53" s="42">
        <v>150417</v>
      </c>
      <c r="J53" s="42">
        <v>15912</v>
      </c>
      <c r="K53" s="43" t="s">
        <v>107</v>
      </c>
      <c r="L53" s="42">
        <v>39666</v>
      </c>
      <c r="M53" s="42">
        <v>804000</v>
      </c>
      <c r="N53" s="44">
        <f>H53+I53+J53+M53+L53</f>
        <v>1689995</v>
      </c>
      <c r="O53" s="42">
        <v>0</v>
      </c>
      <c r="P53" s="42">
        <v>0</v>
      </c>
      <c r="Q53" s="42">
        <v>100000</v>
      </c>
      <c r="R53" s="42">
        <v>100000</v>
      </c>
      <c r="S53" s="42">
        <v>0</v>
      </c>
      <c r="T53" s="44">
        <f>N53+P53+Q53+R53</f>
        <v>1889995</v>
      </c>
      <c r="U53" s="42">
        <v>190462</v>
      </c>
      <c r="V53" s="42">
        <v>118798</v>
      </c>
      <c r="W53" s="42">
        <v>10140</v>
      </c>
      <c r="X53" s="42">
        <v>23087</v>
      </c>
      <c r="Y53" s="42">
        <v>81768</v>
      </c>
      <c r="Z53" s="44">
        <f>U53+V53+W53+Y53+X53</f>
        <v>424255</v>
      </c>
      <c r="AA53" s="44">
        <f t="shared" ref="AA53:AA56" si="30">T53-Z53</f>
        <v>1465740</v>
      </c>
      <c r="AB53" s="42">
        <v>0</v>
      </c>
      <c r="AC53" s="44">
        <f t="shared" ref="AC53:AC56" si="31">AA53-AB53</f>
        <v>1465740</v>
      </c>
    </row>
    <row r="54" spans="1:29" s="37" customFormat="1" ht="15.75" x14ac:dyDescent="0.25">
      <c r="B54" s="39">
        <f t="shared" ref="B54:B56" si="32">+B53+1</f>
        <v>2</v>
      </c>
      <c r="C54" s="40" t="s">
        <v>161</v>
      </c>
      <c r="D54" s="40"/>
      <c r="E54" s="40"/>
      <c r="F54" s="40" t="s">
        <v>164</v>
      </c>
      <c r="G54" s="41">
        <v>30</v>
      </c>
      <c r="H54" s="42">
        <v>404000</v>
      </c>
      <c r="I54" s="42">
        <v>109255</v>
      </c>
      <c r="J54" s="42">
        <v>9454</v>
      </c>
      <c r="K54" s="43" t="s">
        <v>107</v>
      </c>
      <c r="L54" s="42">
        <v>23566</v>
      </c>
      <c r="M54" s="42">
        <v>0</v>
      </c>
      <c r="N54" s="44">
        <f>H54+I54+J54+M54+L54</f>
        <v>546275</v>
      </c>
      <c r="O54" s="42">
        <v>1</v>
      </c>
      <c r="P54" s="42">
        <v>9571</v>
      </c>
      <c r="Q54" s="42">
        <v>0</v>
      </c>
      <c r="R54" s="42">
        <v>0</v>
      </c>
      <c r="S54" s="42">
        <v>0</v>
      </c>
      <c r="T54" s="44">
        <f>N54+P54+Q54+R54</f>
        <v>555846</v>
      </c>
      <c r="U54" s="42">
        <v>62548</v>
      </c>
      <c r="V54" s="42">
        <v>38239</v>
      </c>
      <c r="W54" s="42">
        <v>0</v>
      </c>
      <c r="X54" s="42">
        <v>0</v>
      </c>
      <c r="Y54" s="42">
        <v>0</v>
      </c>
      <c r="Z54" s="44">
        <f t="shared" ref="Z54:Z56" si="33">U54+V54+W54+Y54+X54</f>
        <v>100787</v>
      </c>
      <c r="AA54" s="44">
        <f t="shared" si="30"/>
        <v>455059</v>
      </c>
      <c r="AB54" s="42">
        <v>0</v>
      </c>
      <c r="AC54" s="44">
        <f t="shared" si="31"/>
        <v>455059</v>
      </c>
    </row>
    <row r="55" spans="1:29" s="37" customFormat="1" ht="15.75" x14ac:dyDescent="0.25">
      <c r="B55" s="39">
        <f t="shared" si="32"/>
        <v>3</v>
      </c>
      <c r="C55" s="40" t="s">
        <v>163</v>
      </c>
      <c r="D55" s="40"/>
      <c r="E55" s="40"/>
      <c r="F55" s="40" t="s">
        <v>171</v>
      </c>
      <c r="G55" s="41">
        <v>30</v>
      </c>
      <c r="H55" s="42">
        <v>468000</v>
      </c>
      <c r="I55" s="42">
        <v>126563</v>
      </c>
      <c r="J55" s="42">
        <v>10951</v>
      </c>
      <c r="K55" s="43" t="s">
        <v>107</v>
      </c>
      <c r="L55" s="42">
        <v>27300</v>
      </c>
      <c r="M55" s="42">
        <v>0</v>
      </c>
      <c r="N55" s="44">
        <f>H55+I55+J55+M55+L55</f>
        <v>632814</v>
      </c>
      <c r="O55" s="42">
        <v>0</v>
      </c>
      <c r="P55" s="42">
        <f>O55*2052</f>
        <v>0</v>
      </c>
      <c r="Q55" s="42">
        <v>0</v>
      </c>
      <c r="R55" s="42">
        <v>0</v>
      </c>
      <c r="S55" s="42">
        <v>0</v>
      </c>
      <c r="T55" s="44">
        <f>N55+P55+Q55+R55</f>
        <v>632814</v>
      </c>
      <c r="U55" s="42">
        <v>66952</v>
      </c>
      <c r="V55" s="42">
        <v>44297</v>
      </c>
      <c r="W55" s="42">
        <v>3797</v>
      </c>
      <c r="X55" s="42">
        <v>0</v>
      </c>
      <c r="Y55" s="42">
        <v>0</v>
      </c>
      <c r="Z55" s="44">
        <f t="shared" si="33"/>
        <v>115046</v>
      </c>
      <c r="AA55" s="42">
        <f t="shared" si="30"/>
        <v>517768</v>
      </c>
      <c r="AB55" s="42">
        <v>0</v>
      </c>
      <c r="AC55" s="44">
        <f t="shared" si="31"/>
        <v>517768</v>
      </c>
    </row>
    <row r="56" spans="1:29" s="37" customFormat="1" ht="13.5" customHeight="1" x14ac:dyDescent="0.25">
      <c r="B56" s="39">
        <f t="shared" si="32"/>
        <v>4</v>
      </c>
      <c r="C56" s="40" t="s">
        <v>168</v>
      </c>
      <c r="D56" s="40"/>
      <c r="E56" s="40"/>
      <c r="F56" s="40" t="s">
        <v>169</v>
      </c>
      <c r="G56" s="41">
        <v>30</v>
      </c>
      <c r="H56" s="42">
        <v>404000</v>
      </c>
      <c r="I56" s="42">
        <v>110437</v>
      </c>
      <c r="J56" s="42">
        <v>14180</v>
      </c>
      <c r="K56" s="43" t="s">
        <v>107</v>
      </c>
      <c r="L56" s="42">
        <v>23566</v>
      </c>
      <c r="M56" s="42">
        <v>0</v>
      </c>
      <c r="N56" s="44">
        <f>H56+I56+J56+M56+L56</f>
        <v>552183</v>
      </c>
      <c r="O56" s="42">
        <v>2</v>
      </c>
      <c r="P56" s="42">
        <v>31194</v>
      </c>
      <c r="Q56" s="42">
        <v>0</v>
      </c>
      <c r="R56" s="42">
        <v>0</v>
      </c>
      <c r="S56" s="42">
        <v>0</v>
      </c>
      <c r="T56" s="44">
        <f>N56+P56+Q56+R56</f>
        <v>583377</v>
      </c>
      <c r="U56" s="42">
        <v>63170</v>
      </c>
      <c r="V56" s="42">
        <v>38653</v>
      </c>
      <c r="W56" s="42">
        <v>3313</v>
      </c>
      <c r="X56" s="42">
        <v>0</v>
      </c>
      <c r="Y56" s="42">
        <v>0</v>
      </c>
      <c r="Z56" s="44">
        <f t="shared" si="33"/>
        <v>105136</v>
      </c>
      <c r="AA56" s="42">
        <f t="shared" si="30"/>
        <v>478241</v>
      </c>
      <c r="AB56" s="42">
        <v>0</v>
      </c>
      <c r="AC56" s="44">
        <f t="shared" si="31"/>
        <v>478241</v>
      </c>
    </row>
    <row r="57" spans="1:29" s="37" customFormat="1" ht="15.75" x14ac:dyDescent="0.25">
      <c r="C57" s="39"/>
      <c r="D57" s="39"/>
      <c r="E57" s="39"/>
      <c r="F57" s="49" t="s">
        <v>108</v>
      </c>
      <c r="G57" s="41"/>
      <c r="H57" s="44">
        <f t="shared" ref="H57:AC57" si="34">SUM(H53:H56)</f>
        <v>1956000</v>
      </c>
      <c r="I57" s="44">
        <f t="shared" si="34"/>
        <v>496672</v>
      </c>
      <c r="J57" s="44">
        <f t="shared" si="34"/>
        <v>50497</v>
      </c>
      <c r="K57" s="44">
        <f t="shared" si="34"/>
        <v>0</v>
      </c>
      <c r="L57" s="44">
        <f t="shared" si="34"/>
        <v>114098</v>
      </c>
      <c r="M57" s="44">
        <f t="shared" si="34"/>
        <v>804000</v>
      </c>
      <c r="N57" s="44">
        <f t="shared" si="34"/>
        <v>3421267</v>
      </c>
      <c r="O57" s="44">
        <f t="shared" si="34"/>
        <v>3</v>
      </c>
      <c r="P57" s="44">
        <f t="shared" si="34"/>
        <v>40765</v>
      </c>
      <c r="Q57" s="44">
        <f t="shared" si="34"/>
        <v>100000</v>
      </c>
      <c r="R57" s="44">
        <f t="shared" si="34"/>
        <v>100000</v>
      </c>
      <c r="S57" s="44">
        <f t="shared" si="34"/>
        <v>0</v>
      </c>
      <c r="T57" s="44">
        <f t="shared" si="34"/>
        <v>3662032</v>
      </c>
      <c r="U57" s="44">
        <f t="shared" si="34"/>
        <v>383132</v>
      </c>
      <c r="V57" s="44">
        <f t="shared" si="34"/>
        <v>239987</v>
      </c>
      <c r="W57" s="44">
        <f t="shared" si="34"/>
        <v>17250</v>
      </c>
      <c r="X57" s="44">
        <f t="shared" si="34"/>
        <v>23087</v>
      </c>
      <c r="Y57" s="44">
        <f t="shared" si="34"/>
        <v>81768</v>
      </c>
      <c r="Z57" s="44">
        <f t="shared" si="34"/>
        <v>745224</v>
      </c>
      <c r="AA57" s="44">
        <f t="shared" si="34"/>
        <v>2916808</v>
      </c>
      <c r="AB57" s="44">
        <f t="shared" si="34"/>
        <v>0</v>
      </c>
      <c r="AC57" s="44">
        <f t="shared" si="34"/>
        <v>2916808</v>
      </c>
    </row>
    <row r="58" spans="1:29" ht="21" x14ac:dyDescent="0.35">
      <c r="B58" s="32" t="s">
        <v>167</v>
      </c>
    </row>
    <row r="59" spans="1:29" ht="15.75" x14ac:dyDescent="0.25">
      <c r="B59" s="33" t="s">
        <v>67</v>
      </c>
      <c r="C59" s="33" t="s">
        <v>68</v>
      </c>
      <c r="D59" s="34"/>
      <c r="E59" s="34"/>
      <c r="F59" s="33" t="s">
        <v>69</v>
      </c>
      <c r="G59" s="35" t="s">
        <v>70</v>
      </c>
      <c r="H59" s="36" t="s">
        <v>71</v>
      </c>
      <c r="I59" s="36" t="s">
        <v>72</v>
      </c>
      <c r="J59" s="117" t="s">
        <v>73</v>
      </c>
      <c r="K59" s="36" t="s">
        <v>74</v>
      </c>
      <c r="L59" s="36" t="s">
        <v>75</v>
      </c>
      <c r="M59" s="36" t="s">
        <v>76</v>
      </c>
      <c r="N59" s="36" t="s">
        <v>71</v>
      </c>
      <c r="O59" s="36" t="s">
        <v>77</v>
      </c>
      <c r="P59" s="36" t="s">
        <v>78</v>
      </c>
      <c r="Q59" s="36" t="s">
        <v>79</v>
      </c>
      <c r="R59" s="36" t="s">
        <v>80</v>
      </c>
      <c r="S59" s="36" t="s">
        <v>81</v>
      </c>
      <c r="T59" s="36" t="s">
        <v>82</v>
      </c>
      <c r="U59" s="36" t="s">
        <v>83</v>
      </c>
      <c r="V59" s="36" t="s">
        <v>83</v>
      </c>
      <c r="W59" s="36" t="s">
        <v>84</v>
      </c>
      <c r="X59" s="36" t="s">
        <v>85</v>
      </c>
      <c r="Y59" s="36" t="s">
        <v>76</v>
      </c>
      <c r="Z59" s="36" t="s">
        <v>82</v>
      </c>
      <c r="AA59" s="36" t="s">
        <v>86</v>
      </c>
      <c r="AB59" s="36" t="s">
        <v>87</v>
      </c>
      <c r="AC59" s="36" t="s">
        <v>88</v>
      </c>
    </row>
    <row r="60" spans="1:29" ht="15.75" x14ac:dyDescent="0.25">
      <c r="A60" s="37"/>
      <c r="B60" s="38" t="s">
        <v>89</v>
      </c>
      <c r="C60" s="34"/>
      <c r="D60" s="34"/>
      <c r="E60" s="34"/>
      <c r="F60" s="34"/>
      <c r="G60" s="35" t="s">
        <v>90</v>
      </c>
      <c r="H60" s="36" t="s">
        <v>91</v>
      </c>
      <c r="I60" s="36" t="s">
        <v>92</v>
      </c>
      <c r="J60" s="117"/>
      <c r="K60" s="36" t="s">
        <v>93</v>
      </c>
      <c r="L60" s="36" t="s">
        <v>94</v>
      </c>
      <c r="M60" s="36" t="s">
        <v>95</v>
      </c>
      <c r="N60" s="36" t="s">
        <v>95</v>
      </c>
      <c r="O60" s="36" t="s">
        <v>96</v>
      </c>
      <c r="P60" s="36" t="s">
        <v>96</v>
      </c>
      <c r="Q60" s="36" t="s">
        <v>97</v>
      </c>
      <c r="R60" s="36" t="s">
        <v>98</v>
      </c>
      <c r="S60" s="36" t="s">
        <v>95</v>
      </c>
      <c r="T60" s="36" t="s">
        <v>99</v>
      </c>
      <c r="U60" s="36" t="s">
        <v>100</v>
      </c>
      <c r="V60" s="36" t="s">
        <v>101</v>
      </c>
      <c r="W60" s="36" t="s">
        <v>102</v>
      </c>
      <c r="X60" s="36" t="s">
        <v>103</v>
      </c>
      <c r="Y60" s="36" t="s">
        <v>104</v>
      </c>
      <c r="Z60" s="36" t="s">
        <v>104</v>
      </c>
      <c r="AA60" s="36" t="s">
        <v>105</v>
      </c>
      <c r="AB60" s="36" t="s">
        <v>106</v>
      </c>
      <c r="AC60" s="36" t="s">
        <v>105</v>
      </c>
    </row>
    <row r="61" spans="1:29" s="37" customFormat="1" ht="15.75" x14ac:dyDescent="0.25">
      <c r="B61" s="39">
        <v>1</v>
      </c>
      <c r="C61" s="40" t="s">
        <v>162</v>
      </c>
      <c r="D61" s="40"/>
      <c r="E61" s="40"/>
      <c r="F61" s="40" t="s">
        <v>170</v>
      </c>
      <c r="G61" s="41">
        <v>30</v>
      </c>
      <c r="H61" s="42">
        <v>680000</v>
      </c>
      <c r="I61" s="42">
        <v>158333</v>
      </c>
      <c r="J61" s="42">
        <v>15912</v>
      </c>
      <c r="K61" s="43" t="s">
        <v>107</v>
      </c>
      <c r="L61" s="42">
        <v>39666</v>
      </c>
      <c r="M61" s="42">
        <v>489000</v>
      </c>
      <c r="N61" s="44">
        <f>H61+I61+J61+M61+L61</f>
        <v>1382911</v>
      </c>
      <c r="O61" s="42">
        <v>0</v>
      </c>
      <c r="P61" s="42">
        <v>0</v>
      </c>
      <c r="Q61" s="42">
        <v>100000</v>
      </c>
      <c r="R61" s="42">
        <v>100000</v>
      </c>
      <c r="S61" s="42">
        <v>0</v>
      </c>
      <c r="T61" s="44">
        <f>N61+P61+Q61+R61</f>
        <v>1582911</v>
      </c>
      <c r="U61" s="42">
        <v>155854</v>
      </c>
      <c r="V61" s="42">
        <v>120289</v>
      </c>
      <c r="W61" s="42">
        <v>8297</v>
      </c>
      <c r="X61" s="42">
        <v>11758</v>
      </c>
      <c r="Y61" s="42">
        <v>73604</v>
      </c>
      <c r="Z61" s="44">
        <f>U61+V61+W61+Y61+X61</f>
        <v>369802</v>
      </c>
      <c r="AA61" s="44">
        <f t="shared" ref="AA61:AA64" si="35">T61-Z61</f>
        <v>1213109</v>
      </c>
      <c r="AB61" s="42">
        <v>0</v>
      </c>
      <c r="AC61" s="44">
        <f t="shared" ref="AC61:AC64" si="36">AA61-AB61</f>
        <v>1213109</v>
      </c>
    </row>
    <row r="62" spans="1:29" s="37" customFormat="1" ht="15.6" customHeight="1" x14ac:dyDescent="0.25">
      <c r="B62" s="39">
        <f t="shared" ref="B62:B64" si="37">+B61+1</f>
        <v>2</v>
      </c>
      <c r="C62" s="40" t="s">
        <v>161</v>
      </c>
      <c r="D62" s="40"/>
      <c r="E62" s="40"/>
      <c r="F62" s="40" t="s">
        <v>164</v>
      </c>
      <c r="G62" s="41">
        <v>30</v>
      </c>
      <c r="H62" s="42">
        <v>404000</v>
      </c>
      <c r="I62" s="42">
        <v>109255</v>
      </c>
      <c r="J62" s="42">
        <v>9454</v>
      </c>
      <c r="K62" s="43" t="s">
        <v>107</v>
      </c>
      <c r="L62" s="42">
        <v>23566</v>
      </c>
      <c r="M62" s="42">
        <v>0</v>
      </c>
      <c r="N62" s="44">
        <f>H62+I62+J62+M62+L62</f>
        <v>546275</v>
      </c>
      <c r="O62" s="42">
        <v>1</v>
      </c>
      <c r="P62" s="42">
        <v>10075</v>
      </c>
      <c r="Q62" s="42">
        <v>0</v>
      </c>
      <c r="R62" s="42">
        <v>0</v>
      </c>
      <c r="S62" s="42">
        <v>0</v>
      </c>
      <c r="T62" s="44">
        <f>N62+P62+Q62+R62</f>
        <v>556350</v>
      </c>
      <c r="U62" s="42">
        <v>62548</v>
      </c>
      <c r="V62" s="42">
        <v>38239</v>
      </c>
      <c r="W62" s="42">
        <v>0</v>
      </c>
      <c r="X62" s="42">
        <v>0</v>
      </c>
      <c r="Y62" s="42">
        <v>0</v>
      </c>
      <c r="Z62" s="44">
        <f t="shared" ref="Z62:Z64" si="38">U62+V62+W62+Y62+X62</f>
        <v>100787</v>
      </c>
      <c r="AA62" s="44">
        <f t="shared" si="35"/>
        <v>455563</v>
      </c>
      <c r="AB62" s="42">
        <v>0</v>
      </c>
      <c r="AC62" s="44">
        <f t="shared" si="36"/>
        <v>455563</v>
      </c>
    </row>
    <row r="63" spans="1:29" s="37" customFormat="1" ht="15.75" x14ac:dyDescent="0.25">
      <c r="B63" s="39">
        <f t="shared" si="37"/>
        <v>3</v>
      </c>
      <c r="C63" s="40" t="s">
        <v>163</v>
      </c>
      <c r="D63" s="40"/>
      <c r="E63" s="40"/>
      <c r="F63" s="40" t="s">
        <v>171</v>
      </c>
      <c r="G63" s="41">
        <v>30</v>
      </c>
      <c r="H63" s="42">
        <v>468000</v>
      </c>
      <c r="I63" s="42">
        <v>118369</v>
      </c>
      <c r="J63" s="42">
        <v>5476</v>
      </c>
      <c r="K63" s="43" t="s">
        <v>107</v>
      </c>
      <c r="L63" s="42">
        <v>0</v>
      </c>
      <c r="M63" s="42">
        <v>0</v>
      </c>
      <c r="N63" s="44">
        <f>H63+I63+J63+M63+L63</f>
        <v>591845</v>
      </c>
      <c r="O63" s="42">
        <v>0</v>
      </c>
      <c r="P63" s="42">
        <f>O63*2052</f>
        <v>0</v>
      </c>
      <c r="Q63" s="42">
        <v>0</v>
      </c>
      <c r="R63" s="42">
        <v>0</v>
      </c>
      <c r="S63" s="42">
        <v>0</v>
      </c>
      <c r="T63" s="44">
        <f>N63+P63+Q63+R63</f>
        <v>591845</v>
      </c>
      <c r="U63" s="42">
        <v>62617</v>
      </c>
      <c r="V63" s="42">
        <v>41429</v>
      </c>
      <c r="W63" s="42">
        <v>3551</v>
      </c>
      <c r="X63" s="42">
        <v>0</v>
      </c>
      <c r="Y63" s="42">
        <v>0</v>
      </c>
      <c r="Z63" s="44">
        <f t="shared" si="38"/>
        <v>107597</v>
      </c>
      <c r="AA63" s="42">
        <f t="shared" si="35"/>
        <v>484248</v>
      </c>
      <c r="AB63" s="42">
        <v>0</v>
      </c>
      <c r="AC63" s="44">
        <f t="shared" si="36"/>
        <v>484248</v>
      </c>
    </row>
    <row r="64" spans="1:29" s="37" customFormat="1" ht="15.75" x14ac:dyDescent="0.25">
      <c r="B64" s="39">
        <f t="shared" si="37"/>
        <v>4</v>
      </c>
      <c r="C64" s="40" t="s">
        <v>168</v>
      </c>
      <c r="D64" s="40"/>
      <c r="E64" s="40"/>
      <c r="F64" s="40" t="s">
        <v>169</v>
      </c>
      <c r="G64" s="41">
        <v>30</v>
      </c>
      <c r="H64" s="42">
        <v>404000</v>
      </c>
      <c r="I64" s="42">
        <v>109255</v>
      </c>
      <c r="J64" s="42">
        <v>9454</v>
      </c>
      <c r="K64" s="43" t="s">
        <v>107</v>
      </c>
      <c r="L64" s="42">
        <v>23566</v>
      </c>
      <c r="M64" s="42">
        <v>0</v>
      </c>
      <c r="N64" s="44">
        <f>H64+I64+J64+M64+L64</f>
        <v>546275</v>
      </c>
      <c r="O64" s="42">
        <v>2</v>
      </c>
      <c r="P64" s="42">
        <v>32836</v>
      </c>
      <c r="Q64" s="42">
        <v>0</v>
      </c>
      <c r="R64" s="42">
        <v>0</v>
      </c>
      <c r="S64" s="42">
        <v>0</v>
      </c>
      <c r="T64" s="44">
        <f>N64+P64+Q64+R64</f>
        <v>579111</v>
      </c>
      <c r="U64" s="42">
        <v>62494</v>
      </c>
      <c r="V64" s="42">
        <v>38239</v>
      </c>
      <c r="W64" s="42">
        <v>3278</v>
      </c>
      <c r="X64" s="42">
        <v>0</v>
      </c>
      <c r="Y64" s="42">
        <v>0</v>
      </c>
      <c r="Z64" s="44">
        <f t="shared" si="38"/>
        <v>104011</v>
      </c>
      <c r="AA64" s="42">
        <f t="shared" si="35"/>
        <v>475100</v>
      </c>
      <c r="AB64" s="42">
        <v>0</v>
      </c>
      <c r="AC64" s="44">
        <f t="shared" si="36"/>
        <v>475100</v>
      </c>
    </row>
    <row r="65" spans="1:29" s="37" customFormat="1" ht="15.75" x14ac:dyDescent="0.25">
      <c r="C65" s="39"/>
      <c r="D65" s="39"/>
      <c r="E65" s="39"/>
      <c r="F65" s="49" t="s">
        <v>108</v>
      </c>
      <c r="G65" s="41"/>
      <c r="H65" s="44">
        <f t="shared" ref="H65:AC65" si="39">SUM(H61:H64)</f>
        <v>1956000</v>
      </c>
      <c r="I65" s="44">
        <f t="shared" si="39"/>
        <v>495212</v>
      </c>
      <c r="J65" s="44">
        <f t="shared" si="39"/>
        <v>40296</v>
      </c>
      <c r="K65" s="44">
        <f t="shared" si="39"/>
        <v>0</v>
      </c>
      <c r="L65" s="44">
        <f t="shared" si="39"/>
        <v>86798</v>
      </c>
      <c r="M65" s="44">
        <f t="shared" si="39"/>
        <v>489000</v>
      </c>
      <c r="N65" s="44">
        <f t="shared" si="39"/>
        <v>3067306</v>
      </c>
      <c r="O65" s="44">
        <f t="shared" si="39"/>
        <v>3</v>
      </c>
      <c r="P65" s="44">
        <f t="shared" si="39"/>
        <v>42911</v>
      </c>
      <c r="Q65" s="44">
        <f t="shared" si="39"/>
        <v>100000</v>
      </c>
      <c r="R65" s="44">
        <f t="shared" si="39"/>
        <v>100000</v>
      </c>
      <c r="S65" s="44">
        <f t="shared" si="39"/>
        <v>0</v>
      </c>
      <c r="T65" s="44">
        <f t="shared" si="39"/>
        <v>3310217</v>
      </c>
      <c r="U65" s="44">
        <f t="shared" si="39"/>
        <v>343513</v>
      </c>
      <c r="V65" s="44">
        <f t="shared" si="39"/>
        <v>238196</v>
      </c>
      <c r="W65" s="44">
        <f t="shared" si="39"/>
        <v>15126</v>
      </c>
      <c r="X65" s="44">
        <f t="shared" si="39"/>
        <v>11758</v>
      </c>
      <c r="Y65" s="44">
        <f t="shared" si="39"/>
        <v>73604</v>
      </c>
      <c r="Z65" s="44">
        <f t="shared" si="39"/>
        <v>682197</v>
      </c>
      <c r="AA65" s="44">
        <f t="shared" si="39"/>
        <v>2628020</v>
      </c>
      <c r="AB65" s="44">
        <f t="shared" si="39"/>
        <v>0</v>
      </c>
      <c r="AC65" s="44">
        <f t="shared" si="39"/>
        <v>2628020</v>
      </c>
    </row>
    <row r="66" spans="1:29" ht="21" x14ac:dyDescent="0.35">
      <c r="B66" s="32" t="s">
        <v>179</v>
      </c>
    </row>
    <row r="67" spans="1:29" ht="15.75" x14ac:dyDescent="0.25">
      <c r="B67" s="33" t="s">
        <v>67</v>
      </c>
      <c r="C67" s="33" t="s">
        <v>68</v>
      </c>
      <c r="D67" s="34"/>
      <c r="E67" s="34"/>
      <c r="F67" s="33" t="s">
        <v>69</v>
      </c>
      <c r="G67" s="35" t="s">
        <v>70</v>
      </c>
      <c r="H67" s="36" t="s">
        <v>71</v>
      </c>
      <c r="I67" s="36" t="s">
        <v>72</v>
      </c>
      <c r="J67" s="117" t="s">
        <v>73</v>
      </c>
      <c r="K67" s="36" t="s">
        <v>74</v>
      </c>
      <c r="L67" s="36" t="s">
        <v>75</v>
      </c>
      <c r="M67" s="36" t="s">
        <v>76</v>
      </c>
      <c r="N67" s="36" t="s">
        <v>71</v>
      </c>
      <c r="O67" s="36" t="s">
        <v>77</v>
      </c>
      <c r="P67" s="36" t="s">
        <v>78</v>
      </c>
      <c r="Q67" s="36" t="s">
        <v>79</v>
      </c>
      <c r="R67" s="36" t="s">
        <v>80</v>
      </c>
      <c r="S67" s="36" t="s">
        <v>81</v>
      </c>
      <c r="T67" s="36" t="s">
        <v>82</v>
      </c>
      <c r="U67" s="36" t="s">
        <v>83</v>
      </c>
      <c r="V67" s="36" t="s">
        <v>83</v>
      </c>
      <c r="W67" s="36" t="s">
        <v>84</v>
      </c>
      <c r="X67" s="36" t="s">
        <v>85</v>
      </c>
      <c r="Y67" s="36" t="s">
        <v>76</v>
      </c>
      <c r="Z67" s="36" t="s">
        <v>82</v>
      </c>
      <c r="AA67" s="36" t="s">
        <v>86</v>
      </c>
      <c r="AB67" s="36" t="s">
        <v>87</v>
      </c>
      <c r="AC67" s="36" t="s">
        <v>88</v>
      </c>
    </row>
    <row r="68" spans="1:29" ht="15.75" x14ac:dyDescent="0.25">
      <c r="A68" s="37"/>
      <c r="B68" s="38" t="s">
        <v>89</v>
      </c>
      <c r="C68" s="34"/>
      <c r="D68" s="34"/>
      <c r="E68" s="34"/>
      <c r="F68" s="34"/>
      <c r="G68" s="35" t="s">
        <v>90</v>
      </c>
      <c r="H68" s="36" t="s">
        <v>91</v>
      </c>
      <c r="I68" s="36" t="s">
        <v>92</v>
      </c>
      <c r="J68" s="117"/>
      <c r="K68" s="36" t="s">
        <v>93</v>
      </c>
      <c r="L68" s="36" t="s">
        <v>94</v>
      </c>
      <c r="M68" s="36" t="s">
        <v>95</v>
      </c>
      <c r="N68" s="36" t="s">
        <v>95</v>
      </c>
      <c r="O68" s="36" t="s">
        <v>96</v>
      </c>
      <c r="P68" s="36" t="s">
        <v>96</v>
      </c>
      <c r="Q68" s="36" t="s">
        <v>97</v>
      </c>
      <c r="R68" s="36" t="s">
        <v>98</v>
      </c>
      <c r="S68" s="36" t="s">
        <v>95</v>
      </c>
      <c r="T68" s="36" t="s">
        <v>99</v>
      </c>
      <c r="U68" s="36" t="s">
        <v>100</v>
      </c>
      <c r="V68" s="36" t="s">
        <v>101</v>
      </c>
      <c r="W68" s="36" t="s">
        <v>102</v>
      </c>
      <c r="X68" s="36" t="s">
        <v>103</v>
      </c>
      <c r="Y68" s="36" t="s">
        <v>104</v>
      </c>
      <c r="Z68" s="36" t="s">
        <v>104</v>
      </c>
      <c r="AA68" s="36" t="s">
        <v>105</v>
      </c>
      <c r="AB68" s="36" t="s">
        <v>106</v>
      </c>
      <c r="AC68" s="36" t="s">
        <v>105</v>
      </c>
    </row>
    <row r="69" spans="1:29" s="37" customFormat="1" ht="15.75" x14ac:dyDescent="0.25">
      <c r="B69" s="39">
        <v>1</v>
      </c>
      <c r="C69" s="40" t="s">
        <v>162</v>
      </c>
      <c r="D69" s="40"/>
      <c r="E69" s="40"/>
      <c r="F69" s="40" t="s">
        <v>170</v>
      </c>
      <c r="G69" s="41">
        <v>30</v>
      </c>
      <c r="H69" s="42">
        <v>680000</v>
      </c>
      <c r="I69" s="42">
        <v>158333</v>
      </c>
      <c r="J69" s="42">
        <v>15912</v>
      </c>
      <c r="K69" s="43" t="s">
        <v>107</v>
      </c>
      <c r="L69" s="42">
        <v>79333</v>
      </c>
      <c r="M69" s="42">
        <v>592980</v>
      </c>
      <c r="N69" s="44">
        <f>H69+I69+J69+M69+L69</f>
        <v>1526558</v>
      </c>
      <c r="O69" s="42">
        <v>0</v>
      </c>
      <c r="P69" s="42">
        <v>0</v>
      </c>
      <c r="Q69" s="42">
        <v>100000</v>
      </c>
      <c r="R69" s="42">
        <v>100000</v>
      </c>
      <c r="S69" s="42">
        <v>0</v>
      </c>
      <c r="T69" s="44">
        <f>N69+P69+Q69+R69</f>
        <v>1726558</v>
      </c>
      <c r="U69" s="42">
        <v>172043</v>
      </c>
      <c r="V69" s="42">
        <v>114936</v>
      </c>
      <c r="W69" s="42">
        <v>9159</v>
      </c>
      <c r="X69" s="42">
        <v>16649</v>
      </c>
      <c r="Y69" s="42">
        <v>77563</v>
      </c>
      <c r="Z69" s="44">
        <f>U69+V69+W69+Y69+X69</f>
        <v>390350</v>
      </c>
      <c r="AA69" s="44">
        <f t="shared" ref="AA69:AA72" si="40">T69-Z69</f>
        <v>1336208</v>
      </c>
      <c r="AB69" s="42">
        <v>50000</v>
      </c>
      <c r="AC69" s="44">
        <f t="shared" ref="AC69:AC72" si="41">AA69-AB69</f>
        <v>1286208</v>
      </c>
    </row>
    <row r="70" spans="1:29" s="37" customFormat="1" ht="15.75" x14ac:dyDescent="0.25">
      <c r="B70" s="39">
        <f t="shared" ref="B70:B72" si="42">+B69+1</f>
        <v>2</v>
      </c>
      <c r="C70" s="40" t="s">
        <v>161</v>
      </c>
      <c r="D70" s="40"/>
      <c r="E70" s="40"/>
      <c r="F70" s="40" t="s">
        <v>164</v>
      </c>
      <c r="G70" s="41">
        <v>30</v>
      </c>
      <c r="H70" s="42">
        <v>404000</v>
      </c>
      <c r="I70" s="42">
        <v>142258</v>
      </c>
      <c r="J70" s="42">
        <v>9454</v>
      </c>
      <c r="K70" s="43" t="s">
        <v>107</v>
      </c>
      <c r="L70" s="42">
        <v>94266</v>
      </c>
      <c r="M70" s="42">
        <v>61312</v>
      </c>
      <c r="N70" s="44">
        <f>H70+I70+J70+M70+L70</f>
        <v>711290</v>
      </c>
      <c r="O70" s="42">
        <v>1</v>
      </c>
      <c r="P70" s="42">
        <v>10075</v>
      </c>
      <c r="Q70" s="42">
        <v>0</v>
      </c>
      <c r="R70" s="42">
        <v>0</v>
      </c>
      <c r="S70" s="42">
        <v>0</v>
      </c>
      <c r="T70" s="44">
        <f>N70+P70+Q70+R70</f>
        <v>721365</v>
      </c>
      <c r="U70" s="42">
        <v>81443</v>
      </c>
      <c r="V70" s="42">
        <v>49790</v>
      </c>
      <c r="W70" s="42">
        <v>0</v>
      </c>
      <c r="X70" s="42">
        <v>0</v>
      </c>
      <c r="Y70" s="42">
        <v>0</v>
      </c>
      <c r="Z70" s="44">
        <f t="shared" ref="Z70:Z72" si="43">U70+V70+W70+Y70+X70</f>
        <v>131233</v>
      </c>
      <c r="AA70" s="44">
        <f t="shared" si="40"/>
        <v>590132</v>
      </c>
      <c r="AB70" s="42">
        <v>50000</v>
      </c>
      <c r="AC70" s="44">
        <f t="shared" si="41"/>
        <v>540132</v>
      </c>
    </row>
    <row r="71" spans="1:29" s="37" customFormat="1" ht="15.75" x14ac:dyDescent="0.25">
      <c r="B71" s="39">
        <f t="shared" si="42"/>
        <v>3</v>
      </c>
      <c r="C71" s="40" t="s">
        <v>163</v>
      </c>
      <c r="D71" s="40"/>
      <c r="E71" s="40"/>
      <c r="F71" s="40" t="s">
        <v>171</v>
      </c>
      <c r="G71" s="41">
        <v>30</v>
      </c>
      <c r="H71" s="42">
        <v>468000</v>
      </c>
      <c r="I71" s="42">
        <v>154121</v>
      </c>
      <c r="J71" s="42">
        <v>5476</v>
      </c>
      <c r="K71" s="43" t="s">
        <v>107</v>
      </c>
      <c r="L71" s="42">
        <v>81899</v>
      </c>
      <c r="M71" s="42">
        <v>61110</v>
      </c>
      <c r="N71" s="44">
        <f>H71+I71+J71+M71+L71</f>
        <v>770606</v>
      </c>
      <c r="O71" s="42">
        <v>0</v>
      </c>
      <c r="P71" s="42">
        <f>O71*2052</f>
        <v>0</v>
      </c>
      <c r="Q71" s="42">
        <v>0</v>
      </c>
      <c r="R71" s="42">
        <v>0</v>
      </c>
      <c r="S71" s="42">
        <v>0</v>
      </c>
      <c r="T71" s="44">
        <f>N71+P71+Q71+R71</f>
        <v>770606</v>
      </c>
      <c r="U71" s="42">
        <v>81530</v>
      </c>
      <c r="V71" s="42">
        <v>53942</v>
      </c>
      <c r="W71" s="42">
        <v>4624</v>
      </c>
      <c r="X71" s="42">
        <v>0</v>
      </c>
      <c r="Y71" s="42">
        <v>0</v>
      </c>
      <c r="Z71" s="44">
        <f t="shared" si="43"/>
        <v>140096</v>
      </c>
      <c r="AA71" s="42">
        <f t="shared" si="40"/>
        <v>630510</v>
      </c>
      <c r="AB71" s="42">
        <v>50000</v>
      </c>
      <c r="AC71" s="44">
        <f t="shared" si="41"/>
        <v>580510</v>
      </c>
    </row>
    <row r="72" spans="1:29" s="37" customFormat="1" ht="15.75" x14ac:dyDescent="0.25">
      <c r="B72" s="39">
        <f t="shared" si="42"/>
        <v>4</v>
      </c>
      <c r="C72" s="40" t="s">
        <v>168</v>
      </c>
      <c r="D72" s="40"/>
      <c r="E72" s="40"/>
      <c r="F72" s="40" t="s">
        <v>169</v>
      </c>
      <c r="G72" s="41">
        <v>30</v>
      </c>
      <c r="H72" s="42">
        <v>404000</v>
      </c>
      <c r="I72" s="42">
        <v>130586</v>
      </c>
      <c r="J72" s="42">
        <v>9454</v>
      </c>
      <c r="K72" s="43" t="s">
        <v>107</v>
      </c>
      <c r="L72" s="42">
        <v>47133</v>
      </c>
      <c r="M72" s="42">
        <v>61759</v>
      </c>
      <c r="N72" s="44">
        <f>H72+I72+J72+M72+L72</f>
        <v>652932</v>
      </c>
      <c r="O72" s="42">
        <v>2</v>
      </c>
      <c r="P72" s="42">
        <v>32836</v>
      </c>
      <c r="Q72" s="42">
        <v>0</v>
      </c>
      <c r="R72" s="42">
        <v>0</v>
      </c>
      <c r="S72" s="42">
        <v>0</v>
      </c>
      <c r="T72" s="44">
        <f>N72+P72+Q72+R72</f>
        <v>685768</v>
      </c>
      <c r="U72" s="42">
        <v>74695</v>
      </c>
      <c r="V72" s="42">
        <v>45705</v>
      </c>
      <c r="W72" s="42">
        <v>3918</v>
      </c>
      <c r="X72" s="42">
        <v>0</v>
      </c>
      <c r="Y72" s="42">
        <v>0</v>
      </c>
      <c r="Z72" s="44">
        <f t="shared" si="43"/>
        <v>124318</v>
      </c>
      <c r="AA72" s="42">
        <f t="shared" si="40"/>
        <v>561450</v>
      </c>
      <c r="AB72" s="42">
        <v>50000</v>
      </c>
      <c r="AC72" s="44">
        <f t="shared" si="41"/>
        <v>511450</v>
      </c>
    </row>
    <row r="73" spans="1:29" s="37" customFormat="1" ht="16.5" thickBot="1" x14ac:dyDescent="0.3">
      <c r="B73" s="39"/>
      <c r="C73" s="40"/>
      <c r="D73" s="39"/>
      <c r="E73" s="39"/>
      <c r="G73" s="41"/>
      <c r="H73" s="45"/>
      <c r="I73" s="45"/>
      <c r="J73" s="45"/>
      <c r="K73" s="46"/>
      <c r="L73" s="45"/>
      <c r="M73" s="45"/>
      <c r="N73" s="47"/>
      <c r="O73" s="45"/>
      <c r="P73" s="45"/>
      <c r="Q73" s="45"/>
      <c r="R73" s="45"/>
      <c r="S73" s="45"/>
      <c r="T73" s="47"/>
      <c r="U73" s="45"/>
      <c r="V73" s="45"/>
      <c r="W73" s="45"/>
      <c r="X73" s="45"/>
      <c r="Y73" s="45"/>
      <c r="Z73" s="47"/>
      <c r="AA73" s="47"/>
      <c r="AB73" s="45"/>
      <c r="AC73" s="48"/>
    </row>
    <row r="74" spans="1:29" s="37" customFormat="1" ht="16.5" thickTop="1" x14ac:dyDescent="0.25">
      <c r="C74" s="39"/>
      <c r="D74" s="39"/>
      <c r="E74" s="39"/>
      <c r="F74" s="49" t="s">
        <v>108</v>
      </c>
      <c r="G74" s="41"/>
      <c r="H74" s="44">
        <f t="shared" ref="H74:AC74" si="44">SUM(H69:H73)</f>
        <v>1956000</v>
      </c>
      <c r="I74" s="44">
        <f t="shared" si="44"/>
        <v>585298</v>
      </c>
      <c r="J74" s="44">
        <f t="shared" si="44"/>
        <v>40296</v>
      </c>
      <c r="K74" s="44">
        <f t="shared" si="44"/>
        <v>0</v>
      </c>
      <c r="L74" s="44">
        <f t="shared" si="44"/>
        <v>302631</v>
      </c>
      <c r="M74" s="44">
        <f t="shared" si="44"/>
        <v>777161</v>
      </c>
      <c r="N74" s="44">
        <f t="shared" si="44"/>
        <v>3661386</v>
      </c>
      <c r="O74" s="44">
        <f t="shared" si="44"/>
        <v>3</v>
      </c>
      <c r="P74" s="44">
        <f t="shared" si="44"/>
        <v>42911</v>
      </c>
      <c r="Q74" s="44">
        <f t="shared" si="44"/>
        <v>100000</v>
      </c>
      <c r="R74" s="44">
        <f t="shared" si="44"/>
        <v>100000</v>
      </c>
      <c r="S74" s="44">
        <f t="shared" si="44"/>
        <v>0</v>
      </c>
      <c r="T74" s="44">
        <f t="shared" si="44"/>
        <v>3904297</v>
      </c>
      <c r="U74" s="44">
        <f t="shared" si="44"/>
        <v>409711</v>
      </c>
      <c r="V74" s="44">
        <f t="shared" si="44"/>
        <v>264373</v>
      </c>
      <c r="W74" s="44">
        <f t="shared" si="44"/>
        <v>17701</v>
      </c>
      <c r="X74" s="44">
        <f t="shared" si="44"/>
        <v>16649</v>
      </c>
      <c r="Y74" s="44">
        <f t="shared" si="44"/>
        <v>77563</v>
      </c>
      <c r="Z74" s="44">
        <f t="shared" si="44"/>
        <v>785997</v>
      </c>
      <c r="AA74" s="44">
        <f t="shared" si="44"/>
        <v>3118300</v>
      </c>
      <c r="AB74" s="44">
        <f t="shared" si="44"/>
        <v>200000</v>
      </c>
      <c r="AC74" s="44">
        <f t="shared" si="44"/>
        <v>2918300</v>
      </c>
    </row>
    <row r="75" spans="1:29" ht="21" x14ac:dyDescent="0.35">
      <c r="B75" s="32" t="s">
        <v>178</v>
      </c>
    </row>
    <row r="76" spans="1:29" ht="15.6" customHeight="1" x14ac:dyDescent="0.25">
      <c r="B76" s="33" t="s">
        <v>67</v>
      </c>
      <c r="C76" s="33" t="s">
        <v>68</v>
      </c>
      <c r="D76" s="34"/>
      <c r="E76" s="34"/>
      <c r="F76" s="33" t="s">
        <v>69</v>
      </c>
      <c r="G76" s="35" t="s">
        <v>70</v>
      </c>
      <c r="H76" s="36" t="s">
        <v>71</v>
      </c>
      <c r="I76" s="36" t="s">
        <v>72</v>
      </c>
      <c r="J76" s="117" t="s">
        <v>73</v>
      </c>
      <c r="K76" s="36" t="s">
        <v>74</v>
      </c>
      <c r="L76" s="36" t="s">
        <v>75</v>
      </c>
      <c r="M76" s="36" t="s">
        <v>76</v>
      </c>
      <c r="N76" s="36" t="s">
        <v>71</v>
      </c>
      <c r="O76" s="36" t="s">
        <v>77</v>
      </c>
      <c r="P76" s="36" t="s">
        <v>78</v>
      </c>
      <c r="Q76" s="36" t="s">
        <v>79</v>
      </c>
      <c r="R76" s="36" t="s">
        <v>80</v>
      </c>
      <c r="S76" s="36" t="s">
        <v>81</v>
      </c>
      <c r="T76" s="36" t="s">
        <v>82</v>
      </c>
      <c r="U76" s="36" t="s">
        <v>83</v>
      </c>
      <c r="V76" s="36" t="s">
        <v>83</v>
      </c>
      <c r="W76" s="36" t="s">
        <v>84</v>
      </c>
      <c r="X76" s="36" t="s">
        <v>85</v>
      </c>
      <c r="Y76" s="36" t="s">
        <v>76</v>
      </c>
      <c r="Z76" s="36" t="s">
        <v>82</v>
      </c>
      <c r="AA76" s="36" t="s">
        <v>86</v>
      </c>
      <c r="AB76" s="36" t="s">
        <v>87</v>
      </c>
      <c r="AC76" s="36" t="s">
        <v>88</v>
      </c>
    </row>
    <row r="77" spans="1:29" ht="15.75" x14ac:dyDescent="0.25">
      <c r="A77" s="37"/>
      <c r="B77" s="38" t="s">
        <v>89</v>
      </c>
      <c r="C77" s="34"/>
      <c r="D77" s="34"/>
      <c r="E77" s="34"/>
      <c r="F77" s="34"/>
      <c r="G77" s="35" t="s">
        <v>90</v>
      </c>
      <c r="H77" s="36" t="s">
        <v>91</v>
      </c>
      <c r="I77" s="36" t="s">
        <v>92</v>
      </c>
      <c r="J77" s="117"/>
      <c r="K77" s="36" t="s">
        <v>93</v>
      </c>
      <c r="L77" s="36" t="s">
        <v>94</v>
      </c>
      <c r="M77" s="36" t="s">
        <v>95</v>
      </c>
      <c r="N77" s="36" t="s">
        <v>95</v>
      </c>
      <c r="O77" s="36" t="s">
        <v>96</v>
      </c>
      <c r="P77" s="36" t="s">
        <v>96</v>
      </c>
      <c r="Q77" s="36" t="s">
        <v>97</v>
      </c>
      <c r="R77" s="36" t="s">
        <v>98</v>
      </c>
      <c r="S77" s="36" t="s">
        <v>95</v>
      </c>
      <c r="T77" s="36" t="s">
        <v>99</v>
      </c>
      <c r="U77" s="36" t="s">
        <v>100</v>
      </c>
      <c r="V77" s="36" t="s">
        <v>101</v>
      </c>
      <c r="W77" s="36" t="s">
        <v>102</v>
      </c>
      <c r="X77" s="36" t="s">
        <v>103</v>
      </c>
      <c r="Y77" s="36" t="s">
        <v>104</v>
      </c>
      <c r="Z77" s="36" t="s">
        <v>104</v>
      </c>
      <c r="AA77" s="36" t="s">
        <v>105</v>
      </c>
      <c r="AB77" s="36" t="s">
        <v>106</v>
      </c>
      <c r="AC77" s="36" t="s">
        <v>105</v>
      </c>
    </row>
    <row r="78" spans="1:29" s="37" customFormat="1" ht="15.75" x14ac:dyDescent="0.25">
      <c r="B78" s="39">
        <v>1</v>
      </c>
      <c r="C78" s="40" t="s">
        <v>162</v>
      </c>
      <c r="D78" s="40"/>
      <c r="E78" s="40"/>
      <c r="F78" s="40" t="s">
        <v>170</v>
      </c>
      <c r="G78" s="41">
        <v>30</v>
      </c>
      <c r="H78" s="42">
        <v>680000</v>
      </c>
      <c r="I78" s="42">
        <v>158333</v>
      </c>
      <c r="J78" s="42">
        <v>15912</v>
      </c>
      <c r="K78" s="43" t="s">
        <v>107</v>
      </c>
      <c r="L78" s="42">
        <v>79333</v>
      </c>
      <c r="M78" s="42">
        <v>580000</v>
      </c>
      <c r="N78" s="44">
        <f>H78+I78+J78+M78+L78</f>
        <v>1513578</v>
      </c>
      <c r="O78" s="42">
        <v>0</v>
      </c>
      <c r="P78" s="42">
        <v>0</v>
      </c>
      <c r="Q78" s="42">
        <v>100000</v>
      </c>
      <c r="R78" s="42">
        <v>100000</v>
      </c>
      <c r="S78" s="42">
        <v>0</v>
      </c>
      <c r="T78" s="44">
        <f>N78+P78+Q78+R78</f>
        <v>1713578</v>
      </c>
      <c r="U78" s="42">
        <v>170580</v>
      </c>
      <c r="V78" s="42">
        <v>140131</v>
      </c>
      <c r="W78" s="42">
        <v>9081</v>
      </c>
      <c r="X78" s="42">
        <v>14891</v>
      </c>
      <c r="Y78" s="42">
        <v>76464</v>
      </c>
      <c r="Z78" s="44">
        <f>U78+V78+W78+Y78+X78</f>
        <v>411147</v>
      </c>
      <c r="AA78" s="44">
        <f t="shared" ref="AA78:AA80" si="45">T78-Z78</f>
        <v>1302431</v>
      </c>
      <c r="AB78" s="42">
        <v>0</v>
      </c>
      <c r="AC78" s="44">
        <f t="shared" ref="AC78:AC80" si="46">AA78-AB78</f>
        <v>1302431</v>
      </c>
    </row>
    <row r="79" spans="1:29" s="37" customFormat="1" ht="15.75" x14ac:dyDescent="0.25">
      <c r="B79" s="39">
        <v>2</v>
      </c>
      <c r="C79" s="40" t="s">
        <v>163</v>
      </c>
      <c r="D79" s="40"/>
      <c r="E79" s="40"/>
      <c r="F79" s="40" t="s">
        <v>171</v>
      </c>
      <c r="G79" s="41">
        <v>30</v>
      </c>
      <c r="H79" s="42">
        <v>468000</v>
      </c>
      <c r="I79" s="42">
        <v>134757</v>
      </c>
      <c r="J79" s="42">
        <v>16427</v>
      </c>
      <c r="K79" s="43" t="s">
        <v>107</v>
      </c>
      <c r="L79" s="42">
        <v>54599</v>
      </c>
      <c r="M79" s="42">
        <v>0</v>
      </c>
      <c r="N79" s="44">
        <f>H79+I79+J79+M79+L79</f>
        <v>673783</v>
      </c>
      <c r="O79" s="42">
        <v>0</v>
      </c>
      <c r="P79" s="42">
        <f>O79*2052</f>
        <v>0</v>
      </c>
      <c r="Q79" s="42">
        <v>0</v>
      </c>
      <c r="R79" s="42">
        <v>0</v>
      </c>
      <c r="S79" s="42">
        <v>0</v>
      </c>
      <c r="T79" s="44">
        <f>N79+P79+Q79+R79</f>
        <v>673783</v>
      </c>
      <c r="U79" s="42">
        <v>71286</v>
      </c>
      <c r="V79" s="42">
        <v>47165</v>
      </c>
      <c r="W79" s="42">
        <v>4043</v>
      </c>
      <c r="X79" s="42">
        <v>0</v>
      </c>
      <c r="Y79" s="42">
        <v>0</v>
      </c>
      <c r="Z79" s="44">
        <f t="shared" ref="Z79:Z80" si="47">U79+V79+W79+Y79+X79</f>
        <v>122494</v>
      </c>
      <c r="AA79" s="42">
        <f t="shared" si="45"/>
        <v>551289</v>
      </c>
      <c r="AB79" s="42">
        <v>0</v>
      </c>
      <c r="AC79" s="44">
        <f t="shared" si="46"/>
        <v>551289</v>
      </c>
    </row>
    <row r="80" spans="1:29" s="37" customFormat="1" ht="15.75" x14ac:dyDescent="0.25">
      <c r="B80" s="39">
        <f t="shared" ref="B80" si="48">+B79+1</f>
        <v>3</v>
      </c>
      <c r="C80" s="40" t="s">
        <v>168</v>
      </c>
      <c r="D80" s="40"/>
      <c r="E80" s="40"/>
      <c r="F80" s="40" t="s">
        <v>169</v>
      </c>
      <c r="G80" s="41">
        <v>30</v>
      </c>
      <c r="H80" s="42">
        <v>404000</v>
      </c>
      <c r="I80" s="42">
        <v>115147</v>
      </c>
      <c r="J80" s="42">
        <v>9454</v>
      </c>
      <c r="K80" s="43" t="s">
        <v>107</v>
      </c>
      <c r="L80" s="42">
        <v>47133</v>
      </c>
      <c r="M80" s="42">
        <v>0</v>
      </c>
      <c r="N80" s="44">
        <f>H80+I80+J80+M80+L80</f>
        <v>575734</v>
      </c>
      <c r="O80" s="42">
        <v>2</v>
      </c>
      <c r="P80" s="42">
        <v>20150</v>
      </c>
      <c r="Q80" s="42">
        <v>0</v>
      </c>
      <c r="R80" s="42">
        <v>0</v>
      </c>
      <c r="S80" s="42">
        <v>0</v>
      </c>
      <c r="T80" s="44">
        <f>N80+P80+Q80+R80</f>
        <v>595884</v>
      </c>
      <c r="U80" s="42">
        <v>65864</v>
      </c>
      <c r="V80" s="42">
        <v>40301</v>
      </c>
      <c r="W80" s="42">
        <v>3454</v>
      </c>
      <c r="X80" s="42">
        <v>0</v>
      </c>
      <c r="Y80" s="42">
        <v>0</v>
      </c>
      <c r="Z80" s="44">
        <f t="shared" si="47"/>
        <v>109619</v>
      </c>
      <c r="AA80" s="42">
        <f t="shared" si="45"/>
        <v>486265</v>
      </c>
      <c r="AB80" s="42">
        <v>30000</v>
      </c>
      <c r="AC80" s="44">
        <f t="shared" si="46"/>
        <v>456265</v>
      </c>
    </row>
    <row r="81" spans="1:29" s="37" customFormat="1" ht="15.75" x14ac:dyDescent="0.25">
      <c r="C81" s="39"/>
      <c r="D81" s="39"/>
      <c r="E81" s="39"/>
      <c r="F81" s="49" t="s">
        <v>108</v>
      </c>
      <c r="G81" s="41"/>
      <c r="H81" s="44">
        <f t="shared" ref="H81:AC81" si="49">SUM(H78:H80)</f>
        <v>1552000</v>
      </c>
      <c r="I81" s="44">
        <f t="shared" si="49"/>
        <v>408237</v>
      </c>
      <c r="J81" s="44">
        <f t="shared" si="49"/>
        <v>41793</v>
      </c>
      <c r="K81" s="44">
        <f t="shared" si="49"/>
        <v>0</v>
      </c>
      <c r="L81" s="44">
        <f t="shared" si="49"/>
        <v>181065</v>
      </c>
      <c r="M81" s="44">
        <f t="shared" si="49"/>
        <v>580000</v>
      </c>
      <c r="N81" s="44">
        <f t="shared" si="49"/>
        <v>2763095</v>
      </c>
      <c r="O81" s="44">
        <f t="shared" si="49"/>
        <v>2</v>
      </c>
      <c r="P81" s="44">
        <f t="shared" si="49"/>
        <v>20150</v>
      </c>
      <c r="Q81" s="44">
        <f t="shared" si="49"/>
        <v>100000</v>
      </c>
      <c r="R81" s="44">
        <f t="shared" si="49"/>
        <v>100000</v>
      </c>
      <c r="S81" s="44">
        <f t="shared" si="49"/>
        <v>0</v>
      </c>
      <c r="T81" s="44">
        <f t="shared" si="49"/>
        <v>2983245</v>
      </c>
      <c r="U81" s="44">
        <f t="shared" si="49"/>
        <v>307730</v>
      </c>
      <c r="V81" s="44">
        <f t="shared" si="49"/>
        <v>227597</v>
      </c>
      <c r="W81" s="44">
        <f t="shared" si="49"/>
        <v>16578</v>
      </c>
      <c r="X81" s="44">
        <f t="shared" si="49"/>
        <v>14891</v>
      </c>
      <c r="Y81" s="44">
        <f t="shared" si="49"/>
        <v>76464</v>
      </c>
      <c r="Z81" s="44">
        <f t="shared" si="49"/>
        <v>643260</v>
      </c>
      <c r="AA81" s="44">
        <f t="shared" si="49"/>
        <v>2339985</v>
      </c>
      <c r="AB81" s="44">
        <f t="shared" si="49"/>
        <v>30000</v>
      </c>
      <c r="AC81" s="44">
        <f t="shared" si="49"/>
        <v>2309985</v>
      </c>
    </row>
    <row r="82" spans="1:29" ht="21" x14ac:dyDescent="0.35">
      <c r="B82" s="32" t="s">
        <v>177</v>
      </c>
    </row>
    <row r="83" spans="1:29" ht="15.75" x14ac:dyDescent="0.25">
      <c r="B83" s="33" t="s">
        <v>67</v>
      </c>
      <c r="C83" s="33" t="s">
        <v>68</v>
      </c>
      <c r="D83" s="34"/>
      <c r="E83" s="34"/>
      <c r="F83" s="33" t="s">
        <v>69</v>
      </c>
      <c r="G83" s="35" t="s">
        <v>70</v>
      </c>
      <c r="H83" s="36" t="s">
        <v>71</v>
      </c>
      <c r="I83" s="36" t="s">
        <v>72</v>
      </c>
      <c r="J83" s="117" t="s">
        <v>73</v>
      </c>
      <c r="K83" s="36" t="s">
        <v>74</v>
      </c>
      <c r="L83" s="36" t="s">
        <v>75</v>
      </c>
      <c r="M83" s="36" t="s">
        <v>76</v>
      </c>
      <c r="N83" s="36" t="s">
        <v>71</v>
      </c>
      <c r="O83" s="36" t="s">
        <v>77</v>
      </c>
      <c r="P83" s="36" t="s">
        <v>78</v>
      </c>
      <c r="Q83" s="36" t="s">
        <v>79</v>
      </c>
      <c r="R83" s="36" t="s">
        <v>80</v>
      </c>
      <c r="S83" s="36" t="s">
        <v>81</v>
      </c>
      <c r="T83" s="36" t="s">
        <v>82</v>
      </c>
      <c r="U83" s="36" t="s">
        <v>83</v>
      </c>
      <c r="V83" s="36" t="s">
        <v>83</v>
      </c>
      <c r="W83" s="36" t="s">
        <v>84</v>
      </c>
      <c r="X83" s="36" t="s">
        <v>85</v>
      </c>
      <c r="Y83" s="36" t="s">
        <v>76</v>
      </c>
      <c r="Z83" s="36" t="s">
        <v>82</v>
      </c>
      <c r="AA83" s="36" t="s">
        <v>86</v>
      </c>
      <c r="AB83" s="36" t="s">
        <v>87</v>
      </c>
      <c r="AC83" s="36" t="s">
        <v>88</v>
      </c>
    </row>
    <row r="84" spans="1:29" ht="15.75" x14ac:dyDescent="0.25">
      <c r="A84" s="37"/>
      <c r="B84" s="38" t="s">
        <v>89</v>
      </c>
      <c r="C84" s="34"/>
      <c r="D84" s="34"/>
      <c r="E84" s="34"/>
      <c r="F84" s="34"/>
      <c r="G84" s="35" t="s">
        <v>90</v>
      </c>
      <c r="H84" s="36" t="s">
        <v>91</v>
      </c>
      <c r="I84" s="36" t="s">
        <v>92</v>
      </c>
      <c r="J84" s="117"/>
      <c r="K84" s="36" t="s">
        <v>93</v>
      </c>
      <c r="L84" s="36" t="s">
        <v>94</v>
      </c>
      <c r="M84" s="36" t="s">
        <v>95</v>
      </c>
      <c r="N84" s="36" t="s">
        <v>95</v>
      </c>
      <c r="O84" s="36" t="s">
        <v>96</v>
      </c>
      <c r="P84" s="36" t="s">
        <v>96</v>
      </c>
      <c r="Q84" s="36" t="s">
        <v>97</v>
      </c>
      <c r="R84" s="36" t="s">
        <v>98</v>
      </c>
      <c r="S84" s="36" t="s">
        <v>95</v>
      </c>
      <c r="T84" s="36" t="s">
        <v>99</v>
      </c>
      <c r="U84" s="36" t="s">
        <v>100</v>
      </c>
      <c r="V84" s="36" t="s">
        <v>101</v>
      </c>
      <c r="W84" s="36" t="s">
        <v>102</v>
      </c>
      <c r="X84" s="36" t="s">
        <v>103</v>
      </c>
      <c r="Y84" s="36" t="s">
        <v>104</v>
      </c>
      <c r="Z84" s="36" t="s">
        <v>104</v>
      </c>
      <c r="AA84" s="36" t="s">
        <v>105</v>
      </c>
      <c r="AB84" s="36" t="s">
        <v>106</v>
      </c>
      <c r="AC84" s="36" t="s">
        <v>105</v>
      </c>
    </row>
    <row r="85" spans="1:29" s="37" customFormat="1" ht="15.75" x14ac:dyDescent="0.25">
      <c r="B85" s="39">
        <v>1</v>
      </c>
      <c r="C85" s="40" t="s">
        <v>162</v>
      </c>
      <c r="D85" s="40"/>
      <c r="E85" s="40"/>
      <c r="F85" s="40" t="s">
        <v>170</v>
      </c>
      <c r="G85" s="41">
        <v>30</v>
      </c>
      <c r="H85" s="42">
        <v>816000</v>
      </c>
      <c r="I85" s="42">
        <v>158333</v>
      </c>
      <c r="J85" s="42">
        <v>19094</v>
      </c>
      <c r="K85" s="43" t="s">
        <v>107</v>
      </c>
      <c r="L85" s="42">
        <v>0</v>
      </c>
      <c r="M85" s="42">
        <v>587000</v>
      </c>
      <c r="N85" s="44">
        <f>H85+I85+J85+M85+L85</f>
        <v>1580427</v>
      </c>
      <c r="O85" s="42">
        <v>0</v>
      </c>
      <c r="P85" s="42">
        <v>0</v>
      </c>
      <c r="Q85" s="42">
        <v>100000</v>
      </c>
      <c r="R85" s="42">
        <v>100000</v>
      </c>
      <c r="S85" s="42">
        <v>0</v>
      </c>
      <c r="T85" s="44">
        <f>N85+P85+Q85+R85</f>
        <v>1780427</v>
      </c>
      <c r="U85" s="42">
        <v>178114</v>
      </c>
      <c r="V85" s="42">
        <v>117316</v>
      </c>
      <c r="W85" s="42">
        <v>9483</v>
      </c>
      <c r="X85" s="42">
        <v>17996</v>
      </c>
      <c r="Y85" s="42">
        <v>78915</v>
      </c>
      <c r="Z85" s="44">
        <f>U85+V85+W85+Y85+X85</f>
        <v>401824</v>
      </c>
      <c r="AA85" s="44">
        <f t="shared" ref="AA85:AA87" si="50">T85-Z85</f>
        <v>1378603</v>
      </c>
      <c r="AB85" s="42">
        <v>0</v>
      </c>
      <c r="AC85" s="44">
        <f t="shared" ref="AC85:AC87" si="51">AA85-AB85</f>
        <v>1378603</v>
      </c>
    </row>
    <row r="86" spans="1:29" s="37" customFormat="1" ht="15.75" x14ac:dyDescent="0.25">
      <c r="B86" s="39">
        <v>2</v>
      </c>
      <c r="C86" s="40" t="s">
        <v>163</v>
      </c>
      <c r="D86" s="40"/>
      <c r="E86" s="40"/>
      <c r="F86" s="40" t="s">
        <v>171</v>
      </c>
      <c r="G86" s="41">
        <v>30</v>
      </c>
      <c r="H86" s="42">
        <v>538000</v>
      </c>
      <c r="I86" s="42">
        <v>145493</v>
      </c>
      <c r="J86" s="42">
        <v>12589</v>
      </c>
      <c r="K86" s="43" t="s">
        <v>107</v>
      </c>
      <c r="L86" s="42">
        <v>31383</v>
      </c>
      <c r="M86" s="42">
        <v>0</v>
      </c>
      <c r="N86" s="44">
        <f>H86+I86+J86+M86+L86</f>
        <v>727465</v>
      </c>
      <c r="O86" s="42">
        <v>0</v>
      </c>
      <c r="P86" s="42">
        <f>O86*2052</f>
        <v>0</v>
      </c>
      <c r="Q86" s="42">
        <v>0</v>
      </c>
      <c r="R86" s="42">
        <v>0</v>
      </c>
      <c r="S86" s="42">
        <v>0</v>
      </c>
      <c r="T86" s="44">
        <f>N86+P86+Q86+R86</f>
        <v>727465</v>
      </c>
      <c r="U86" s="42">
        <v>76966</v>
      </c>
      <c r="V86" s="42">
        <v>50923</v>
      </c>
      <c r="W86" s="42">
        <v>4365</v>
      </c>
      <c r="X86" s="42">
        <v>0</v>
      </c>
      <c r="Y86" s="42">
        <v>0</v>
      </c>
      <c r="Z86" s="44">
        <f t="shared" ref="Z86:Z87" si="52">U86+V86+W86+Y86+X86</f>
        <v>132254</v>
      </c>
      <c r="AA86" s="42">
        <f t="shared" si="50"/>
        <v>595211</v>
      </c>
      <c r="AB86" s="42">
        <v>0</v>
      </c>
      <c r="AC86" s="44">
        <f t="shared" si="51"/>
        <v>595211</v>
      </c>
    </row>
    <row r="87" spans="1:29" s="37" customFormat="1" ht="15.75" x14ac:dyDescent="0.25">
      <c r="B87" s="39">
        <f t="shared" ref="B87" si="53">+B86+1</f>
        <v>3</v>
      </c>
      <c r="C87" s="40" t="s">
        <v>168</v>
      </c>
      <c r="D87" s="40"/>
      <c r="E87" s="40"/>
      <c r="F87" s="40" t="s">
        <v>169</v>
      </c>
      <c r="G87" s="41">
        <v>19</v>
      </c>
      <c r="H87" s="42">
        <v>294247</v>
      </c>
      <c r="I87" s="42">
        <v>79212</v>
      </c>
      <c r="J87" s="42">
        <v>5436</v>
      </c>
      <c r="K87" s="43" t="s">
        <v>107</v>
      </c>
      <c r="L87" s="42">
        <v>17164</v>
      </c>
      <c r="M87" s="42">
        <v>0</v>
      </c>
      <c r="N87" s="44">
        <f>H87+I87+J87+M87+L87</f>
        <v>396059</v>
      </c>
      <c r="O87" s="42">
        <v>2</v>
      </c>
      <c r="P87" s="42">
        <v>20150</v>
      </c>
      <c r="Q87" s="42">
        <v>0</v>
      </c>
      <c r="R87" s="42">
        <v>0</v>
      </c>
      <c r="S87" s="42">
        <v>0</v>
      </c>
      <c r="T87" s="44">
        <f>N87+P87+Q87+R87</f>
        <v>416209</v>
      </c>
      <c r="U87" s="42">
        <v>45309</v>
      </c>
      <c r="V87" s="42">
        <v>27724</v>
      </c>
      <c r="W87" s="42">
        <v>2376</v>
      </c>
      <c r="X87" s="42">
        <v>0</v>
      </c>
      <c r="Y87" s="42">
        <v>0</v>
      </c>
      <c r="Z87" s="44">
        <f t="shared" si="52"/>
        <v>75409</v>
      </c>
      <c r="AA87" s="42">
        <f t="shared" si="50"/>
        <v>340800</v>
      </c>
      <c r="AB87" s="42">
        <v>0</v>
      </c>
      <c r="AC87" s="44">
        <f t="shared" si="51"/>
        <v>340800</v>
      </c>
    </row>
    <row r="88" spans="1:29" s="37" customFormat="1" ht="15.75" x14ac:dyDescent="0.25">
      <c r="C88" s="39"/>
      <c r="D88" s="39"/>
      <c r="E88" s="39"/>
      <c r="F88" s="49" t="s">
        <v>108</v>
      </c>
      <c r="G88" s="41"/>
      <c r="H88" s="44">
        <f t="shared" ref="H88:AC88" si="54">SUM(H85:H87)</f>
        <v>1648247</v>
      </c>
      <c r="I88" s="44">
        <f t="shared" si="54"/>
        <v>383038</v>
      </c>
      <c r="J88" s="44">
        <f t="shared" si="54"/>
        <v>37119</v>
      </c>
      <c r="K88" s="44">
        <f t="shared" si="54"/>
        <v>0</v>
      </c>
      <c r="L88" s="44">
        <f t="shared" si="54"/>
        <v>48547</v>
      </c>
      <c r="M88" s="44">
        <f t="shared" si="54"/>
        <v>587000</v>
      </c>
      <c r="N88" s="44">
        <f t="shared" si="54"/>
        <v>2703951</v>
      </c>
      <c r="O88" s="44">
        <f t="shared" si="54"/>
        <v>2</v>
      </c>
      <c r="P88" s="44">
        <f t="shared" si="54"/>
        <v>20150</v>
      </c>
      <c r="Q88" s="44">
        <f t="shared" si="54"/>
        <v>100000</v>
      </c>
      <c r="R88" s="44">
        <f t="shared" si="54"/>
        <v>100000</v>
      </c>
      <c r="S88" s="44">
        <f t="shared" si="54"/>
        <v>0</v>
      </c>
      <c r="T88" s="44">
        <f t="shared" si="54"/>
        <v>2924101</v>
      </c>
      <c r="U88" s="44">
        <f t="shared" si="54"/>
        <v>300389</v>
      </c>
      <c r="V88" s="44">
        <f t="shared" si="54"/>
        <v>195963</v>
      </c>
      <c r="W88" s="44">
        <f t="shared" si="54"/>
        <v>16224</v>
      </c>
      <c r="X88" s="44">
        <f t="shared" si="54"/>
        <v>17996</v>
      </c>
      <c r="Y88" s="44">
        <f t="shared" si="54"/>
        <v>78915</v>
      </c>
      <c r="Z88" s="44">
        <f t="shared" si="54"/>
        <v>609487</v>
      </c>
      <c r="AA88" s="44">
        <f t="shared" si="54"/>
        <v>2314614</v>
      </c>
      <c r="AB88" s="44">
        <f t="shared" si="54"/>
        <v>0</v>
      </c>
      <c r="AC88" s="44">
        <f t="shared" si="54"/>
        <v>2314614</v>
      </c>
    </row>
    <row r="89" spans="1:29" ht="21" x14ac:dyDescent="0.35">
      <c r="B89" s="32" t="s">
        <v>176</v>
      </c>
    </row>
    <row r="90" spans="1:29" ht="15.75" x14ac:dyDescent="0.25">
      <c r="B90" s="33" t="s">
        <v>67</v>
      </c>
      <c r="C90" s="33" t="s">
        <v>68</v>
      </c>
      <c r="D90" s="34"/>
      <c r="E90" s="34"/>
      <c r="F90" s="33" t="s">
        <v>69</v>
      </c>
      <c r="G90" s="35" t="s">
        <v>70</v>
      </c>
      <c r="H90" s="36" t="s">
        <v>71</v>
      </c>
      <c r="I90" s="36" t="s">
        <v>72</v>
      </c>
      <c r="J90" s="117" t="s">
        <v>73</v>
      </c>
      <c r="K90" s="36" t="s">
        <v>74</v>
      </c>
      <c r="L90" s="36" t="s">
        <v>75</v>
      </c>
      <c r="M90" s="36" t="s">
        <v>76</v>
      </c>
      <c r="N90" s="36" t="s">
        <v>71</v>
      </c>
      <c r="O90" s="36" t="s">
        <v>77</v>
      </c>
      <c r="P90" s="36" t="s">
        <v>78</v>
      </c>
      <c r="Q90" s="36" t="s">
        <v>79</v>
      </c>
      <c r="R90" s="36" t="s">
        <v>80</v>
      </c>
      <c r="S90" s="36" t="s">
        <v>81</v>
      </c>
      <c r="T90" s="36" t="s">
        <v>82</v>
      </c>
      <c r="U90" s="36" t="s">
        <v>83</v>
      </c>
      <c r="V90" s="36" t="s">
        <v>83</v>
      </c>
      <c r="W90" s="36" t="s">
        <v>84</v>
      </c>
      <c r="X90" s="36" t="s">
        <v>85</v>
      </c>
      <c r="Y90" s="36" t="s">
        <v>76</v>
      </c>
      <c r="Z90" s="36" t="s">
        <v>82</v>
      </c>
      <c r="AA90" s="36" t="s">
        <v>86</v>
      </c>
      <c r="AB90" s="36" t="s">
        <v>87</v>
      </c>
      <c r="AC90" s="36" t="s">
        <v>88</v>
      </c>
    </row>
    <row r="91" spans="1:29" ht="15.75" x14ac:dyDescent="0.25">
      <c r="A91" s="37"/>
      <c r="B91" s="38" t="s">
        <v>89</v>
      </c>
      <c r="C91" s="34"/>
      <c r="D91" s="34"/>
      <c r="E91" s="34"/>
      <c r="F91" s="34"/>
      <c r="G91" s="35" t="s">
        <v>90</v>
      </c>
      <c r="H91" s="36" t="s">
        <v>91</v>
      </c>
      <c r="I91" s="36" t="s">
        <v>92</v>
      </c>
      <c r="J91" s="117"/>
      <c r="K91" s="36" t="s">
        <v>93</v>
      </c>
      <c r="L91" s="36" t="s">
        <v>94</v>
      </c>
      <c r="M91" s="36" t="s">
        <v>95</v>
      </c>
      <c r="N91" s="36" t="s">
        <v>95</v>
      </c>
      <c r="O91" s="36" t="s">
        <v>96</v>
      </c>
      <c r="P91" s="36" t="s">
        <v>96</v>
      </c>
      <c r="Q91" s="36" t="s">
        <v>97</v>
      </c>
      <c r="R91" s="36" t="s">
        <v>98</v>
      </c>
      <c r="S91" s="36" t="s">
        <v>95</v>
      </c>
      <c r="T91" s="36" t="s">
        <v>99</v>
      </c>
      <c r="U91" s="36" t="s">
        <v>100</v>
      </c>
      <c r="V91" s="36" t="s">
        <v>101</v>
      </c>
      <c r="W91" s="36" t="s">
        <v>102</v>
      </c>
      <c r="X91" s="36" t="s">
        <v>103</v>
      </c>
      <c r="Y91" s="36" t="s">
        <v>104</v>
      </c>
      <c r="Z91" s="36" t="s">
        <v>104</v>
      </c>
      <c r="AA91" s="36" t="s">
        <v>105</v>
      </c>
      <c r="AB91" s="36" t="s">
        <v>106</v>
      </c>
      <c r="AC91" s="36" t="s">
        <v>105</v>
      </c>
    </row>
    <row r="92" spans="1:29" s="37" customFormat="1" ht="15.75" x14ac:dyDescent="0.25">
      <c r="B92" s="39">
        <v>1</v>
      </c>
      <c r="C92" s="40" t="s">
        <v>162</v>
      </c>
      <c r="D92" s="40"/>
      <c r="E92" s="40"/>
      <c r="F92" s="40" t="s">
        <v>170</v>
      </c>
      <c r="G92" s="41">
        <v>30</v>
      </c>
      <c r="H92" s="42">
        <v>816000</v>
      </c>
      <c r="I92" s="42">
        <v>158333</v>
      </c>
      <c r="J92" s="42">
        <v>19094</v>
      </c>
      <c r="K92" s="43" t="s">
        <v>107</v>
      </c>
      <c r="L92" s="42">
        <v>47600</v>
      </c>
      <c r="M92" s="42">
        <v>746179</v>
      </c>
      <c r="N92" s="44">
        <f>H92+I92+J92+M92+L92</f>
        <v>1787206</v>
      </c>
      <c r="O92" s="42">
        <v>0</v>
      </c>
      <c r="P92" s="42">
        <v>0</v>
      </c>
      <c r="Q92" s="42">
        <v>100000</v>
      </c>
      <c r="R92" s="42">
        <v>100000</v>
      </c>
      <c r="S92" s="42">
        <v>0</v>
      </c>
      <c r="T92" s="44">
        <f>N92+P92+Q92+R92</f>
        <v>1987206</v>
      </c>
      <c r="U92" s="42">
        <v>201479</v>
      </c>
      <c r="V92" s="42">
        <v>142199</v>
      </c>
      <c r="W92" s="42">
        <v>10726</v>
      </c>
      <c r="X92" s="42">
        <v>24309</v>
      </c>
      <c r="Y92" s="42">
        <v>83650</v>
      </c>
      <c r="Z92" s="44">
        <f t="shared" ref="Z92:Z94" si="55">U92+V92+W92+Y92+X92</f>
        <v>462363</v>
      </c>
      <c r="AA92" s="44">
        <f t="shared" ref="AA92:AA94" si="56">T92-Z92</f>
        <v>1524843</v>
      </c>
      <c r="AB92" s="42">
        <v>50000</v>
      </c>
      <c r="AC92" s="44">
        <f t="shared" ref="AC92:AC94" si="57">AA92-AB92</f>
        <v>1474843</v>
      </c>
    </row>
    <row r="93" spans="1:29" s="37" customFormat="1" ht="15.75" x14ac:dyDescent="0.25">
      <c r="B93" s="39">
        <v>2</v>
      </c>
      <c r="C93" s="40" t="s">
        <v>163</v>
      </c>
      <c r="D93" s="40"/>
      <c r="E93" s="40"/>
      <c r="F93" s="40" t="s">
        <v>171</v>
      </c>
      <c r="G93" s="41">
        <v>30</v>
      </c>
      <c r="H93" s="42">
        <v>538000</v>
      </c>
      <c r="I93" s="42">
        <v>158333</v>
      </c>
      <c r="J93" s="42">
        <v>12589</v>
      </c>
      <c r="K93" s="43" t="s">
        <v>107</v>
      </c>
      <c r="L93" s="42">
        <v>62766</v>
      </c>
      <c r="M93" s="42">
        <v>61110</v>
      </c>
      <c r="N93" s="44">
        <f>H93+I93+J93+M93+L93</f>
        <v>832798</v>
      </c>
      <c r="O93" s="42">
        <v>0</v>
      </c>
      <c r="P93" s="42">
        <f>O93*2052</f>
        <v>0</v>
      </c>
      <c r="Q93" s="42">
        <v>0</v>
      </c>
      <c r="R93" s="42">
        <v>0</v>
      </c>
      <c r="S93" s="42">
        <v>0</v>
      </c>
      <c r="T93" s="44">
        <f>N93+P93+Q93+R93</f>
        <v>832798</v>
      </c>
      <c r="U93" s="42">
        <v>88110</v>
      </c>
      <c r="V93" s="42">
        <v>58296</v>
      </c>
      <c r="W93" s="42">
        <v>4997</v>
      </c>
      <c r="X93" s="42">
        <v>0</v>
      </c>
      <c r="Y93" s="42">
        <v>0</v>
      </c>
      <c r="Z93" s="44">
        <f t="shared" si="55"/>
        <v>151403</v>
      </c>
      <c r="AA93" s="42">
        <f t="shared" si="56"/>
        <v>681395</v>
      </c>
      <c r="AB93" s="42">
        <v>100000</v>
      </c>
      <c r="AC93" s="44">
        <f t="shared" si="57"/>
        <v>581395</v>
      </c>
    </row>
    <row r="94" spans="1:29" s="37" customFormat="1" ht="15.75" x14ac:dyDescent="0.25">
      <c r="B94" s="39">
        <f t="shared" ref="B94" si="58">+B93+1</f>
        <v>3</v>
      </c>
      <c r="C94" s="40" t="s">
        <v>168</v>
      </c>
      <c r="D94" s="40"/>
      <c r="E94" s="40"/>
      <c r="F94" s="40" t="s">
        <v>169</v>
      </c>
      <c r="G94" s="41">
        <v>16</v>
      </c>
      <c r="H94" s="42">
        <v>247787</v>
      </c>
      <c r="I94" s="42">
        <v>78745</v>
      </c>
      <c r="J94" s="42">
        <v>5436</v>
      </c>
      <c r="K94" s="43" t="s">
        <v>107</v>
      </c>
      <c r="L94" s="42">
        <v>0</v>
      </c>
      <c r="M94" s="42">
        <v>61759</v>
      </c>
      <c r="N94" s="44">
        <f>H94+I94+J94+M94+L94</f>
        <v>393727</v>
      </c>
      <c r="O94" s="42">
        <v>2</v>
      </c>
      <c r="P94" s="42">
        <v>20150</v>
      </c>
      <c r="Q94" s="42">
        <v>0</v>
      </c>
      <c r="R94" s="42">
        <v>0</v>
      </c>
      <c r="S94" s="42">
        <v>0</v>
      </c>
      <c r="T94" s="44">
        <f>N94+P94+Q94+R94</f>
        <v>413877</v>
      </c>
      <c r="U94" s="42">
        <v>45042</v>
      </c>
      <c r="V94" s="42">
        <v>27561</v>
      </c>
      <c r="W94" s="42">
        <v>2362</v>
      </c>
      <c r="X94" s="42">
        <v>0</v>
      </c>
      <c r="Y94" s="42">
        <v>0</v>
      </c>
      <c r="Z94" s="44">
        <f t="shared" si="55"/>
        <v>74965</v>
      </c>
      <c r="AA94" s="42">
        <f t="shared" si="56"/>
        <v>338912</v>
      </c>
      <c r="AB94" s="42">
        <v>150000</v>
      </c>
      <c r="AC94" s="44">
        <f t="shared" si="57"/>
        <v>188912</v>
      </c>
    </row>
    <row r="95" spans="1:29" s="37" customFormat="1" ht="15.75" x14ac:dyDescent="0.25">
      <c r="C95" s="39"/>
      <c r="D95" s="39"/>
      <c r="E95" s="39"/>
      <c r="F95" s="49" t="s">
        <v>108</v>
      </c>
      <c r="G95" s="41"/>
      <c r="H95" s="44">
        <f t="shared" ref="H95:AC95" si="59">SUM(H92:H94)</f>
        <v>1601787</v>
      </c>
      <c r="I95" s="44">
        <f t="shared" si="59"/>
        <v>395411</v>
      </c>
      <c r="J95" s="44">
        <f t="shared" si="59"/>
        <v>37119</v>
      </c>
      <c r="K95" s="44">
        <f t="shared" si="59"/>
        <v>0</v>
      </c>
      <c r="L95" s="44">
        <f t="shared" si="59"/>
        <v>110366</v>
      </c>
      <c r="M95" s="44">
        <f t="shared" si="59"/>
        <v>869048</v>
      </c>
      <c r="N95" s="44">
        <f t="shared" si="59"/>
        <v>3013731</v>
      </c>
      <c r="O95" s="44">
        <f t="shared" si="59"/>
        <v>2</v>
      </c>
      <c r="P95" s="44">
        <f t="shared" si="59"/>
        <v>20150</v>
      </c>
      <c r="Q95" s="44">
        <f t="shared" si="59"/>
        <v>100000</v>
      </c>
      <c r="R95" s="44">
        <f t="shared" si="59"/>
        <v>100000</v>
      </c>
      <c r="S95" s="44">
        <f t="shared" si="59"/>
        <v>0</v>
      </c>
      <c r="T95" s="44">
        <f t="shared" si="59"/>
        <v>3233881</v>
      </c>
      <c r="U95" s="44">
        <f t="shared" si="59"/>
        <v>334631</v>
      </c>
      <c r="V95" s="44">
        <f t="shared" si="59"/>
        <v>228056</v>
      </c>
      <c r="W95" s="44">
        <f t="shared" si="59"/>
        <v>18085</v>
      </c>
      <c r="X95" s="44">
        <f t="shared" si="59"/>
        <v>24309</v>
      </c>
      <c r="Y95" s="44">
        <f t="shared" si="59"/>
        <v>83650</v>
      </c>
      <c r="Z95" s="44">
        <f t="shared" si="59"/>
        <v>688731</v>
      </c>
      <c r="AA95" s="44">
        <f t="shared" si="59"/>
        <v>2545150</v>
      </c>
      <c r="AB95" s="44">
        <f t="shared" si="59"/>
        <v>300000</v>
      </c>
      <c r="AC95" s="44">
        <f t="shared" si="59"/>
        <v>2245150</v>
      </c>
    </row>
    <row r="98" spans="8:29" x14ac:dyDescent="0.2">
      <c r="H98" s="30">
        <f>+H10+H18+H26+H33+H41+H49+H57+H65+H74+H81+H88+H95</f>
        <v>19918034</v>
      </c>
      <c r="I98" s="30">
        <f t="shared" ref="I98:AC98" si="60">+I10+I18+I26+I33+I41+I49+I57+I65+I74+I81+I88+I95</f>
        <v>5022737</v>
      </c>
      <c r="J98" s="30">
        <f t="shared" si="60"/>
        <v>433197</v>
      </c>
      <c r="K98" s="30">
        <f t="shared" si="60"/>
        <v>0</v>
      </c>
      <c r="L98" s="30">
        <f t="shared" si="60"/>
        <v>1287533</v>
      </c>
      <c r="M98" s="30">
        <f t="shared" si="60"/>
        <v>7694709</v>
      </c>
      <c r="N98" s="30">
        <f t="shared" si="60"/>
        <v>34356210</v>
      </c>
      <c r="O98" s="30">
        <f t="shared" si="60"/>
        <v>23</v>
      </c>
      <c r="P98" s="30">
        <f t="shared" si="60"/>
        <v>272633</v>
      </c>
      <c r="Q98" s="30">
        <f t="shared" si="60"/>
        <v>1200000</v>
      </c>
      <c r="R98" s="30">
        <f t="shared" si="60"/>
        <v>1200000</v>
      </c>
      <c r="S98" s="30">
        <f t="shared" si="60"/>
        <v>0</v>
      </c>
      <c r="T98" s="30">
        <f t="shared" si="60"/>
        <v>37028843</v>
      </c>
      <c r="U98" s="30">
        <f t="shared" si="60"/>
        <v>3839910</v>
      </c>
      <c r="V98" s="30">
        <f t="shared" si="60"/>
        <v>2605128</v>
      </c>
      <c r="W98" s="30">
        <f t="shared" si="60"/>
        <v>175680</v>
      </c>
      <c r="X98" s="30">
        <f t="shared" si="60"/>
        <v>205178</v>
      </c>
      <c r="Y98" s="30">
        <f t="shared" si="60"/>
        <v>965899</v>
      </c>
      <c r="Z98" s="30">
        <f t="shared" si="60"/>
        <v>7791795</v>
      </c>
      <c r="AA98" s="30">
        <f t="shared" si="60"/>
        <v>29237048</v>
      </c>
      <c r="AB98" s="30">
        <f t="shared" si="60"/>
        <v>530000</v>
      </c>
      <c r="AC98" s="30">
        <f t="shared" si="60"/>
        <v>28707048</v>
      </c>
    </row>
    <row r="99" spans="8:29" x14ac:dyDescent="0.2">
      <c r="N99" s="31">
        <f>+'certificado sueldo'!B186</f>
        <v>34356210</v>
      </c>
      <c r="R99" s="31">
        <f>SUM(P97:R98)</f>
        <v>2672633</v>
      </c>
      <c r="T99" s="26"/>
      <c r="X99" s="31">
        <f>+'certificado sueldo'!E186</f>
        <v>205178</v>
      </c>
    </row>
    <row r="100" spans="8:29" x14ac:dyDescent="0.2">
      <c r="W100" s="31">
        <f>SUM(U98:W98)</f>
        <v>6620718</v>
      </c>
    </row>
    <row r="103" spans="8:29" x14ac:dyDescent="0.2">
      <c r="P103" s="31" t="s">
        <v>247</v>
      </c>
      <c r="R103" s="31">
        <f>+N98</f>
        <v>34356210</v>
      </c>
    </row>
    <row r="104" spans="8:29" x14ac:dyDescent="0.2">
      <c r="P104" s="31" t="s">
        <v>380</v>
      </c>
      <c r="R104" s="31">
        <f>+Q98+R98</f>
        <v>2400000</v>
      </c>
    </row>
    <row r="105" spans="8:29" x14ac:dyDescent="0.2">
      <c r="P105" s="31" t="s">
        <v>381</v>
      </c>
      <c r="R105" s="31">
        <f>+'certificado sueldo'!Q186</f>
        <v>1700313.2666</v>
      </c>
    </row>
    <row r="106" spans="8:29" x14ac:dyDescent="0.2">
      <c r="P106" s="31" t="s">
        <v>382</v>
      </c>
      <c r="R106" s="31">
        <f>+P98</f>
        <v>272633</v>
      </c>
    </row>
    <row r="107" spans="8:29" x14ac:dyDescent="0.2">
      <c r="P107" s="31" t="s">
        <v>235</v>
      </c>
      <c r="S107" s="31">
        <f>+W100+R105</f>
        <v>8321031.2665999997</v>
      </c>
    </row>
    <row r="108" spans="8:29" x14ac:dyDescent="0.2">
      <c r="P108" s="31" t="s">
        <v>386</v>
      </c>
      <c r="S108" s="31">
        <f>+X98</f>
        <v>205178</v>
      </c>
    </row>
    <row r="109" spans="8:29" x14ac:dyDescent="0.2">
      <c r="P109" s="31" t="s">
        <v>383</v>
      </c>
      <c r="S109" s="31">
        <f>+Y98</f>
        <v>965899</v>
      </c>
    </row>
    <row r="110" spans="8:29" x14ac:dyDescent="0.2">
      <c r="P110" s="31" t="s">
        <v>384</v>
      </c>
      <c r="S110" s="31">
        <f>+AB98</f>
        <v>530000</v>
      </c>
    </row>
    <row r="111" spans="8:29" x14ac:dyDescent="0.2">
      <c r="P111" s="31" t="s">
        <v>385</v>
      </c>
      <c r="S111" s="31">
        <f>+AC98</f>
        <v>28707048</v>
      </c>
    </row>
    <row r="112" spans="8:29" x14ac:dyDescent="0.2">
      <c r="R112" s="31">
        <f>SUM(R103:R111)</f>
        <v>38729156.266599998</v>
      </c>
      <c r="S112" s="31">
        <f>SUM(S103:S111)</f>
        <v>38729156.266599998</v>
      </c>
    </row>
    <row r="113" spans="19:19" x14ac:dyDescent="0.2">
      <c r="S113" s="31">
        <f>+R112-S112</f>
        <v>0</v>
      </c>
    </row>
  </sheetData>
  <mergeCells count="12">
    <mergeCell ref="J4:J5"/>
    <mergeCell ref="J12:J13"/>
    <mergeCell ref="J35:J36"/>
    <mergeCell ref="J43:J44"/>
    <mergeCell ref="J51:J52"/>
    <mergeCell ref="J20:J21"/>
    <mergeCell ref="J28:J29"/>
    <mergeCell ref="J83:J84"/>
    <mergeCell ref="J90:J91"/>
    <mergeCell ref="J59:J60"/>
    <mergeCell ref="J67:J68"/>
    <mergeCell ref="J76:J77"/>
  </mergeCells>
  <pageMargins left="0.7" right="0.7" top="0.75" bottom="0.75" header="0.3" footer="0.3"/>
  <pageSetup scale="7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2"/>
  <sheetViews>
    <sheetView topLeftCell="C163" zoomScale="77" zoomScaleNormal="77" workbookViewId="0">
      <selection activeCell="C186" sqref="C186"/>
    </sheetView>
  </sheetViews>
  <sheetFormatPr baseColWidth="10" defaultColWidth="14.85546875" defaultRowHeight="15" x14ac:dyDescent="0.2"/>
  <cols>
    <col min="1" max="1" width="17" style="54" customWidth="1"/>
    <col min="2" max="2" width="16" style="54" customWidth="1"/>
    <col min="3" max="3" width="15.140625" style="54" bestFit="1" customWidth="1"/>
    <col min="4" max="4" width="18.85546875" style="54" customWidth="1"/>
    <col min="5" max="5" width="15" style="54" customWidth="1"/>
    <col min="6" max="6" width="15.140625" style="54" customWidth="1"/>
    <col min="7" max="7" width="13.28515625" style="54" customWidth="1"/>
    <col min="8" max="8" width="14.85546875" style="54"/>
    <col min="9" max="9" width="12.140625" style="54" customWidth="1"/>
    <col min="10" max="10" width="15.42578125" style="54" customWidth="1"/>
    <col min="11" max="11" width="14.7109375" style="54" customWidth="1"/>
    <col min="12" max="12" width="13.28515625" style="54" customWidth="1"/>
    <col min="13" max="13" width="14.85546875" style="54"/>
    <col min="14" max="14" width="19.140625" style="54" customWidth="1"/>
    <col min="15" max="16384" width="14.85546875" style="54"/>
  </cols>
  <sheetData>
    <row r="2" spans="1:15" ht="15.75" x14ac:dyDescent="0.25">
      <c r="A2" s="50" t="s">
        <v>110</v>
      </c>
      <c r="B2" s="51"/>
      <c r="C2" s="119" t="s">
        <v>152</v>
      </c>
      <c r="D2" s="119"/>
      <c r="E2" s="119"/>
      <c r="F2" s="51"/>
      <c r="G2" s="51"/>
      <c r="H2" s="52"/>
      <c r="I2" s="52"/>
      <c r="J2" s="52"/>
      <c r="K2" s="52"/>
      <c r="L2" s="52"/>
      <c r="M2" s="52"/>
      <c r="N2" s="53"/>
    </row>
    <row r="3" spans="1:15" ht="15.75" x14ac:dyDescent="0.25">
      <c r="A3" s="50" t="s">
        <v>111</v>
      </c>
      <c r="B3" s="51"/>
      <c r="C3" s="51" t="s">
        <v>153</v>
      </c>
      <c r="D3" s="55"/>
      <c r="E3" s="55"/>
      <c r="F3" s="51"/>
      <c r="G3" s="51"/>
      <c r="H3" s="52"/>
      <c r="I3" s="52"/>
      <c r="J3" s="52"/>
      <c r="K3" s="52"/>
      <c r="L3" s="52"/>
      <c r="M3" s="52"/>
      <c r="N3" s="52"/>
      <c r="O3" s="56"/>
    </row>
    <row r="4" spans="1:15" ht="15.75" x14ac:dyDescent="0.25">
      <c r="A4" s="50" t="s">
        <v>112</v>
      </c>
      <c r="B4" s="51"/>
      <c r="C4" s="51" t="s">
        <v>154</v>
      </c>
      <c r="D4" s="51"/>
      <c r="E4" s="51"/>
      <c r="F4" s="51"/>
      <c r="G4" s="51"/>
      <c r="H4" s="52"/>
      <c r="I4" s="52"/>
      <c r="J4" s="52"/>
      <c r="K4" s="52"/>
      <c r="L4" s="52"/>
      <c r="M4" s="52"/>
      <c r="N4" s="53"/>
    </row>
    <row r="5" spans="1:15" ht="15.75" x14ac:dyDescent="0.25">
      <c r="A5" s="50" t="s">
        <v>113</v>
      </c>
      <c r="B5" s="51"/>
      <c r="C5" s="51" t="s">
        <v>155</v>
      </c>
      <c r="D5" s="51"/>
      <c r="E5" s="51"/>
      <c r="F5" s="51"/>
      <c r="G5" s="51"/>
      <c r="H5" s="52"/>
      <c r="I5" s="52"/>
      <c r="J5" s="52"/>
      <c r="K5" s="52"/>
      <c r="L5" s="52"/>
      <c r="M5" s="52"/>
      <c r="N5" s="53"/>
    </row>
    <row r="6" spans="1:15" ht="15.75" x14ac:dyDescent="0.25">
      <c r="A6" s="57"/>
      <c r="B6" s="52"/>
      <c r="C6" s="55"/>
      <c r="D6" s="52"/>
      <c r="E6" s="52"/>
      <c r="F6" s="52"/>
      <c r="G6" s="52"/>
      <c r="H6" s="52"/>
      <c r="I6" s="52"/>
      <c r="J6" s="52"/>
      <c r="K6" s="58" t="s">
        <v>114</v>
      </c>
      <c r="L6" s="59" t="s">
        <v>11</v>
      </c>
      <c r="M6" s="60">
        <v>1</v>
      </c>
      <c r="N6" s="53"/>
    </row>
    <row r="7" spans="1:15" ht="15.75" x14ac:dyDescent="0.25">
      <c r="A7" s="57"/>
      <c r="B7" s="52"/>
      <c r="C7" s="52"/>
      <c r="D7" s="52"/>
      <c r="E7" s="52"/>
      <c r="F7" s="52"/>
      <c r="G7" s="52"/>
      <c r="H7" s="52"/>
      <c r="I7" s="52"/>
      <c r="J7" s="52"/>
      <c r="K7" s="51" t="s">
        <v>115</v>
      </c>
      <c r="L7" s="61" t="s">
        <v>156</v>
      </c>
      <c r="M7" s="52"/>
      <c r="N7" s="53"/>
    </row>
    <row r="8" spans="1:15" x14ac:dyDescent="0.2">
      <c r="A8" s="5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5" x14ac:dyDescent="0.2">
      <c r="A9" s="57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</row>
    <row r="10" spans="1:15" x14ac:dyDescent="0.2">
      <c r="A10" s="57"/>
      <c r="B10" s="52"/>
      <c r="C10" s="62" t="s">
        <v>116</v>
      </c>
      <c r="D10" s="63"/>
      <c r="E10" s="63"/>
      <c r="F10" s="63"/>
      <c r="G10" s="63"/>
      <c r="H10" s="63"/>
      <c r="I10" s="63"/>
      <c r="J10" s="52"/>
      <c r="K10" s="52"/>
      <c r="L10" s="52"/>
      <c r="M10" s="52"/>
      <c r="N10" s="53"/>
    </row>
    <row r="11" spans="1:15" x14ac:dyDescent="0.2">
      <c r="A11" s="57"/>
      <c r="B11" s="52"/>
      <c r="C11" s="64"/>
      <c r="D11" s="64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5" x14ac:dyDescent="0.2">
      <c r="A12" s="57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5" x14ac:dyDescent="0.2">
      <c r="A13" s="57" t="s">
        <v>117</v>
      </c>
      <c r="B13" s="52" t="str">
        <f>+C2</f>
        <v>HERMANOS ROJAS LTDA</v>
      </c>
      <c r="C13" s="52"/>
      <c r="D13" s="52"/>
      <c r="E13" s="52" t="s">
        <v>118</v>
      </c>
      <c r="F13" s="52"/>
      <c r="G13" s="52"/>
      <c r="H13" s="52" t="str">
        <f>+'LIBRO REMUNERACIONES'!F6</f>
        <v>JASMIN  PRISCILA GONZALEZ GONZALEZ</v>
      </c>
      <c r="I13" s="52"/>
      <c r="J13" s="52"/>
      <c r="K13" s="52"/>
      <c r="L13" s="52"/>
      <c r="M13" s="52"/>
      <c r="N13" s="53"/>
    </row>
    <row r="14" spans="1:15" x14ac:dyDescent="0.2">
      <c r="A14" s="57" t="s">
        <v>119</v>
      </c>
      <c r="B14" s="65" t="str">
        <f>+'LIBRO REMUNERACIONES'!C6</f>
        <v>10.668.874-3</v>
      </c>
      <c r="C14" s="52" t="s">
        <v>175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5" x14ac:dyDescent="0.2">
      <c r="A15" s="57" t="s">
        <v>120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5" ht="15.75" x14ac:dyDescent="0.25">
      <c r="A16" s="66"/>
      <c r="B16" s="51"/>
      <c r="C16" s="51"/>
      <c r="D16" s="51"/>
      <c r="E16" s="51"/>
      <c r="F16" s="51"/>
      <c r="G16" s="51"/>
      <c r="H16" s="51"/>
      <c r="I16" s="51"/>
      <c r="J16" s="118" t="s">
        <v>121</v>
      </c>
      <c r="K16" s="118"/>
      <c r="L16" s="118"/>
      <c r="M16" s="118"/>
      <c r="N16" s="118"/>
    </row>
    <row r="17" spans="1:18" ht="15.75" x14ac:dyDescent="0.25">
      <c r="A17" s="67" t="s">
        <v>122</v>
      </c>
      <c r="B17" s="68" t="s">
        <v>71</v>
      </c>
      <c r="C17" s="69" t="s">
        <v>123</v>
      </c>
      <c r="D17" s="68" t="s">
        <v>124</v>
      </c>
      <c r="E17" s="68" t="s">
        <v>125</v>
      </c>
      <c r="F17" s="69" t="s">
        <v>125</v>
      </c>
      <c r="G17" s="68" t="s">
        <v>124</v>
      </c>
      <c r="H17" s="68" t="s">
        <v>124</v>
      </c>
      <c r="I17" s="69" t="s">
        <v>126</v>
      </c>
      <c r="J17" s="68" t="s">
        <v>124</v>
      </c>
      <c r="K17" s="68" t="s">
        <v>127</v>
      </c>
      <c r="L17" s="68" t="s">
        <v>128</v>
      </c>
      <c r="M17" s="68" t="s">
        <v>124</v>
      </c>
      <c r="N17" s="70" t="s">
        <v>124</v>
      </c>
      <c r="P17" s="68" t="s">
        <v>71</v>
      </c>
      <c r="Q17" s="68" t="s">
        <v>181</v>
      </c>
      <c r="R17" s="68"/>
    </row>
    <row r="18" spans="1:18" ht="15.75" x14ac:dyDescent="0.25">
      <c r="A18" s="66"/>
      <c r="B18" s="71" t="s">
        <v>129</v>
      </c>
      <c r="C18" s="59" t="s">
        <v>130</v>
      </c>
      <c r="D18" s="71" t="s">
        <v>131</v>
      </c>
      <c r="E18" s="71" t="s">
        <v>103</v>
      </c>
      <c r="F18" s="59" t="s">
        <v>103</v>
      </c>
      <c r="G18" s="71" t="s">
        <v>132</v>
      </c>
      <c r="H18" s="71" t="s">
        <v>133</v>
      </c>
      <c r="I18" s="59" t="s">
        <v>134</v>
      </c>
      <c r="J18" s="71" t="s">
        <v>131</v>
      </c>
      <c r="K18" s="71" t="s">
        <v>103</v>
      </c>
      <c r="L18" s="71" t="s">
        <v>103</v>
      </c>
      <c r="M18" s="71" t="s">
        <v>132</v>
      </c>
      <c r="N18" s="72" t="s">
        <v>133</v>
      </c>
      <c r="P18" s="71" t="s">
        <v>129</v>
      </c>
      <c r="Q18" s="71" t="s">
        <v>182</v>
      </c>
      <c r="R18" s="71"/>
    </row>
    <row r="19" spans="1:18" ht="15.75" x14ac:dyDescent="0.25">
      <c r="A19" s="66"/>
      <c r="B19" s="71"/>
      <c r="C19" s="59"/>
      <c r="D19" s="71"/>
      <c r="E19" s="71" t="s">
        <v>135</v>
      </c>
      <c r="F19" s="59" t="s">
        <v>136</v>
      </c>
      <c r="G19" s="71" t="s">
        <v>137</v>
      </c>
      <c r="H19" s="71" t="s">
        <v>138</v>
      </c>
      <c r="I19" s="59"/>
      <c r="J19" s="71"/>
      <c r="K19" s="71" t="s">
        <v>135</v>
      </c>
      <c r="L19" s="71" t="s">
        <v>136</v>
      </c>
      <c r="M19" s="71" t="s">
        <v>137</v>
      </c>
      <c r="N19" s="72" t="s">
        <v>138</v>
      </c>
      <c r="P19" s="71" t="s">
        <v>139</v>
      </c>
      <c r="Q19" s="71" t="s">
        <v>183</v>
      </c>
      <c r="R19" s="71" t="s">
        <v>189</v>
      </c>
    </row>
    <row r="20" spans="1:18" ht="15.75" x14ac:dyDescent="0.25">
      <c r="A20" s="73"/>
      <c r="B20" s="74"/>
      <c r="C20" s="75"/>
      <c r="D20" s="74"/>
      <c r="E20" s="76"/>
      <c r="F20" s="77"/>
      <c r="G20" s="76" t="s">
        <v>140</v>
      </c>
      <c r="H20" s="76" t="s">
        <v>141</v>
      </c>
      <c r="I20" s="77"/>
      <c r="J20" s="76"/>
      <c r="K20" s="76"/>
      <c r="L20" s="76"/>
      <c r="M20" s="76" t="s">
        <v>140</v>
      </c>
      <c r="N20" s="78" t="s">
        <v>141</v>
      </c>
      <c r="P20" s="74"/>
      <c r="Q20" s="74" t="s">
        <v>184</v>
      </c>
      <c r="R20" s="74"/>
    </row>
    <row r="21" spans="1:18" x14ac:dyDescent="0.2">
      <c r="A21" s="79" t="s">
        <v>36</v>
      </c>
      <c r="B21" s="80">
        <f>+'[2]LIBRO AÑO 2022'!L3</f>
        <v>1563454</v>
      </c>
      <c r="C21" s="80">
        <f>+'[2]LIBRO AÑO 2022'!S3 +'[2]LIBRO AÑO 2022'!T3 +'[2]LIBRO AÑO 2022'!U3</f>
        <v>300445</v>
      </c>
      <c r="D21" s="80">
        <f>B21-C21</f>
        <v>1263009</v>
      </c>
      <c r="E21" s="81">
        <f>+'[2]LIBRO AÑO 2022'!V3</f>
        <v>20886</v>
      </c>
      <c r="F21" s="80"/>
      <c r="G21" s="80">
        <f>+'[2]LIBRO AÑO 2022'!O3 +'[2]LIBRO AÑO 2022'!P3</f>
        <v>200000</v>
      </c>
      <c r="H21" s="82"/>
      <c r="I21" s="115">
        <v>1.0449999999999999</v>
      </c>
      <c r="J21" s="82">
        <f>+D21*I21</f>
        <v>1319844.4049999998</v>
      </c>
      <c r="K21" s="82">
        <f t="shared" ref="K21:K32" si="0">+E21*I21</f>
        <v>21825.87</v>
      </c>
      <c r="L21" s="82">
        <f t="shared" ref="L21:L32" si="1">+F21*I21</f>
        <v>0</v>
      </c>
      <c r="M21" s="82">
        <f t="shared" ref="M21:M32" si="2">+G21*I21</f>
        <v>209000</v>
      </c>
      <c r="N21" s="83">
        <f t="shared" ref="N21:N32" si="3">+H21*I21</f>
        <v>0</v>
      </c>
      <c r="P21" s="82">
        <f>+B21*I21</f>
        <v>1633809.43</v>
      </c>
      <c r="Q21" s="82">
        <f>+B21*R21</f>
        <v>75827.519</v>
      </c>
      <c r="R21" s="189">
        <f>0.9%+1.55%+2.4%</f>
        <v>4.8500000000000001E-2</v>
      </c>
    </row>
    <row r="22" spans="1:18" x14ac:dyDescent="0.2">
      <c r="A22" s="79" t="s">
        <v>37</v>
      </c>
      <c r="B22" s="80">
        <f>+'[2]LIBRO AÑO 2022'!L4</f>
        <v>1558454</v>
      </c>
      <c r="C22" s="80">
        <f>+'[2]LIBRO AÑO 2022'!S4 +'[2]LIBRO AÑO 2022'!T4 +'[2]LIBRO AÑO 2022'!U4</f>
        <v>301053</v>
      </c>
      <c r="D22" s="80">
        <f t="shared" ref="D22:D32" si="4">B22-C22</f>
        <v>1257401</v>
      </c>
      <c r="E22" s="81">
        <f>+'[2]LIBRO AÑO 2022'!V4</f>
        <v>20662</v>
      </c>
      <c r="F22" s="80"/>
      <c r="G22" s="80">
        <f>+'[2]LIBRO AÑO 2022'!O4 +'[2]LIBRO AÑO 2022'!P4</f>
        <v>200000</v>
      </c>
      <c r="H22" s="82"/>
      <c r="I22" s="115">
        <v>1.0369999999999999</v>
      </c>
      <c r="J22" s="82">
        <f t="shared" ref="J22:J32" si="5">+D22*I22</f>
        <v>1303924.8369999998</v>
      </c>
      <c r="K22" s="82">
        <f t="shared" si="0"/>
        <v>21426.493999999999</v>
      </c>
      <c r="L22" s="82">
        <f t="shared" si="1"/>
        <v>0</v>
      </c>
      <c r="M22" s="82">
        <f t="shared" si="2"/>
        <v>207399.99999999997</v>
      </c>
      <c r="N22" s="83">
        <f t="shared" si="3"/>
        <v>0</v>
      </c>
      <c r="P22" s="82">
        <f t="shared" ref="P22:Q32" si="6">+B22*I22</f>
        <v>1616116.798</v>
      </c>
      <c r="Q22" s="82">
        <f t="shared" ref="Q22:Q32" si="7">+B22*R22</f>
        <v>75585.019</v>
      </c>
      <c r="R22" s="189">
        <f t="shared" ref="R22:R32" si="8">0.9%+1.55%+2.4%</f>
        <v>4.8500000000000001E-2</v>
      </c>
    </row>
    <row r="23" spans="1:18" x14ac:dyDescent="0.2">
      <c r="A23" s="79" t="s">
        <v>38</v>
      </c>
      <c r="B23" s="80">
        <f>+'[2]LIBRO AÑO 2022'!L5</f>
        <v>1375042</v>
      </c>
      <c r="C23" s="80">
        <f>+'[2]LIBRO AÑO 2022'!S5 +'[2]LIBRO AÑO 2022'!T5 +'[2]LIBRO AÑO 2022'!U5</f>
        <v>279975</v>
      </c>
      <c r="D23" s="80">
        <f t="shared" si="4"/>
        <v>1095067</v>
      </c>
      <c r="E23" s="81">
        <f>+'[2]LIBRO AÑO 2022'!V5</f>
        <v>13723</v>
      </c>
      <c r="F23" s="80"/>
      <c r="G23" s="80">
        <f>+'[2]LIBRO AÑO 2022'!O5 +'[2]LIBRO AÑO 2022'!P5</f>
        <v>200000</v>
      </c>
      <c r="H23" s="82"/>
      <c r="I23" s="115">
        <f>+I22</f>
        <v>1.0369999999999999</v>
      </c>
      <c r="J23" s="82">
        <f t="shared" si="5"/>
        <v>1135584.4789999998</v>
      </c>
      <c r="K23" s="82">
        <f t="shared" si="0"/>
        <v>14230.750999999998</v>
      </c>
      <c r="L23" s="82">
        <f t="shared" si="1"/>
        <v>0</v>
      </c>
      <c r="M23" s="82">
        <f t="shared" si="2"/>
        <v>207399.99999999997</v>
      </c>
      <c r="N23" s="83">
        <f t="shared" si="3"/>
        <v>0</v>
      </c>
      <c r="P23" s="82">
        <f t="shared" si="6"/>
        <v>1425918.554</v>
      </c>
      <c r="Q23" s="82">
        <f t="shared" si="7"/>
        <v>66689.536999999997</v>
      </c>
      <c r="R23" s="189">
        <f t="shared" si="8"/>
        <v>4.8500000000000001E-2</v>
      </c>
    </row>
    <row r="24" spans="1:18" x14ac:dyDescent="0.2">
      <c r="A24" s="79" t="s">
        <v>39</v>
      </c>
      <c r="B24" s="80">
        <f>+'[2]LIBRO AÑO 2022'!L6</f>
        <v>1373542</v>
      </c>
      <c r="C24" s="80">
        <f>+'[2]LIBRO AÑO 2022'!S6 +'[2]LIBRO AÑO 2022'!T6 +'[2]LIBRO AÑO 2022'!U6</f>
        <v>281448</v>
      </c>
      <c r="D24" s="80">
        <f t="shared" si="4"/>
        <v>1092094</v>
      </c>
      <c r="E24" s="81">
        <f>+'[2]LIBRO AÑO 2022'!V6</f>
        <v>13032</v>
      </c>
      <c r="F24" s="80"/>
      <c r="G24" s="80">
        <f>+'[2]LIBRO AÑO 2022'!O6 +'[2]LIBRO AÑO 2022'!P6</f>
        <v>200000</v>
      </c>
      <c r="H24" s="82"/>
      <c r="I24" s="115">
        <v>1.026</v>
      </c>
      <c r="J24" s="82">
        <f t="shared" si="5"/>
        <v>1120488.4440000001</v>
      </c>
      <c r="K24" s="82">
        <f t="shared" si="0"/>
        <v>13370.832</v>
      </c>
      <c r="L24" s="82">
        <f t="shared" si="1"/>
        <v>0</v>
      </c>
      <c r="M24" s="82">
        <f t="shared" si="2"/>
        <v>205200</v>
      </c>
      <c r="N24" s="83">
        <f t="shared" si="3"/>
        <v>0</v>
      </c>
      <c r="P24" s="82">
        <f t="shared" si="6"/>
        <v>1409254.0919999999</v>
      </c>
      <c r="Q24" s="82">
        <f t="shared" si="7"/>
        <v>67440.912200000006</v>
      </c>
      <c r="R24" s="189">
        <f>0.9%+1.61%+2.4%</f>
        <v>4.9100000000000005E-2</v>
      </c>
    </row>
    <row r="25" spans="1:18" x14ac:dyDescent="0.2">
      <c r="A25" s="79" t="s">
        <v>40</v>
      </c>
      <c r="B25" s="80">
        <f>+'[2]LIBRO AÑO 2022'!L7</f>
        <v>1438662</v>
      </c>
      <c r="C25" s="80">
        <f>+'[2]LIBRO AÑO 2022'!S7 +'[2]LIBRO AÑO 2022'!T7 +'[2]LIBRO AÑO 2022'!U7</f>
        <v>304265</v>
      </c>
      <c r="D25" s="80">
        <f t="shared" si="4"/>
        <v>1134397</v>
      </c>
      <c r="E25" s="81">
        <f>+'[2]LIBRO AÑO 2022'!V7</f>
        <v>14724</v>
      </c>
      <c r="F25" s="80"/>
      <c r="G25" s="80">
        <f>+'[2]LIBRO AÑO 2022'!O7 +'[2]LIBRO AÑO 2022'!P7</f>
        <v>200000</v>
      </c>
      <c r="H25" s="82"/>
      <c r="I25" s="115">
        <v>1.0229999999999999</v>
      </c>
      <c r="J25" s="82">
        <f t="shared" si="5"/>
        <v>1160488.1309999998</v>
      </c>
      <c r="K25" s="82">
        <f t="shared" si="0"/>
        <v>15062.651999999998</v>
      </c>
      <c r="L25" s="82">
        <f t="shared" si="1"/>
        <v>0</v>
      </c>
      <c r="M25" s="82">
        <f t="shared" si="2"/>
        <v>204599.99999999997</v>
      </c>
      <c r="N25" s="83">
        <f t="shared" si="3"/>
        <v>0</v>
      </c>
      <c r="P25" s="82">
        <f t="shared" si="6"/>
        <v>1471751.2259999998</v>
      </c>
      <c r="Q25" s="82">
        <f t="shared" si="7"/>
        <v>70638.304200000013</v>
      </c>
      <c r="R25" s="189">
        <f>+R24</f>
        <v>4.9100000000000005E-2</v>
      </c>
    </row>
    <row r="26" spans="1:18" x14ac:dyDescent="0.2">
      <c r="A26" s="79" t="s">
        <v>41</v>
      </c>
      <c r="B26" s="80">
        <f>+'[2]LIBRO AÑO 2022'!L8</f>
        <v>1396995</v>
      </c>
      <c r="C26" s="80">
        <f>+'[2]LIBRO AÑO 2022'!S8 +'[2]LIBRO AÑO 2022'!T8 +'[2]LIBRO AÑO 2022'!U8</f>
        <v>283447</v>
      </c>
      <c r="D26" s="80">
        <f t="shared" si="4"/>
        <v>1113548</v>
      </c>
      <c r="E26" s="81">
        <f>+'[2]LIBRO AÑO 2022'!V8</f>
        <v>13461</v>
      </c>
      <c r="F26" s="80"/>
      <c r="G26" s="80">
        <f>+'[2]LIBRO AÑO 2022'!O8 +'[2]LIBRO AÑO 2022'!P8</f>
        <v>200000</v>
      </c>
      <c r="H26" s="82"/>
      <c r="I26" s="115">
        <v>1.022</v>
      </c>
      <c r="J26" s="82">
        <f t="shared" si="5"/>
        <v>1138046.0560000001</v>
      </c>
      <c r="K26" s="82">
        <f t="shared" si="0"/>
        <v>13757.142</v>
      </c>
      <c r="L26" s="82">
        <f t="shared" si="1"/>
        <v>0</v>
      </c>
      <c r="M26" s="82">
        <f t="shared" si="2"/>
        <v>204400</v>
      </c>
      <c r="N26" s="83">
        <f t="shared" si="3"/>
        <v>0</v>
      </c>
      <c r="P26" s="82">
        <f t="shared" si="6"/>
        <v>1427728.8900000001</v>
      </c>
      <c r="Q26" s="82">
        <f t="shared" si="7"/>
        <v>68592.454500000007</v>
      </c>
      <c r="R26" s="189">
        <f>+R25</f>
        <v>4.9100000000000005E-2</v>
      </c>
    </row>
    <row r="27" spans="1:18" x14ac:dyDescent="0.2">
      <c r="A27" s="79" t="s">
        <v>42</v>
      </c>
      <c r="B27" s="80">
        <f>+'[2]LIBRO AÑO 2022'!L9</f>
        <v>1689995</v>
      </c>
      <c r="C27" s="80">
        <f>+'[2]LIBRO AÑO 2022'!S9 +'[2]LIBRO AÑO 2022'!T9 +'[2]LIBRO AÑO 2022'!U9</f>
        <v>319400</v>
      </c>
      <c r="D27" s="80">
        <f t="shared" si="4"/>
        <v>1370595</v>
      </c>
      <c r="E27" s="81">
        <f>+'[2]LIBRO AÑO 2022'!V9</f>
        <v>23087</v>
      </c>
      <c r="F27" s="80"/>
      <c r="G27" s="80">
        <f>+'[2]LIBRO AÑO 2022'!O9 +'[2]LIBRO AÑO 2022'!P9</f>
        <v>200000</v>
      </c>
      <c r="H27" s="82"/>
      <c r="I27" s="115">
        <f>+I25</f>
        <v>1.0229999999999999</v>
      </c>
      <c r="J27" s="82">
        <f t="shared" si="5"/>
        <v>1402118.6849999998</v>
      </c>
      <c r="K27" s="82">
        <f t="shared" si="0"/>
        <v>23618.000999999997</v>
      </c>
      <c r="L27" s="82">
        <f t="shared" si="1"/>
        <v>0</v>
      </c>
      <c r="M27" s="82">
        <f t="shared" si="2"/>
        <v>204599.99999999997</v>
      </c>
      <c r="N27" s="83">
        <f t="shared" si="3"/>
        <v>0</v>
      </c>
      <c r="P27" s="82">
        <f t="shared" si="6"/>
        <v>1728864.8849999998</v>
      </c>
      <c r="Q27" s="82">
        <f t="shared" si="7"/>
        <v>87541.740999999995</v>
      </c>
      <c r="R27" s="189">
        <f>0.9%+1.88%+2.4%</f>
        <v>5.1799999999999999E-2</v>
      </c>
    </row>
    <row r="28" spans="1:18" x14ac:dyDescent="0.2">
      <c r="A28" s="79" t="s">
        <v>43</v>
      </c>
      <c r="B28" s="80">
        <f>+'[2]LIBRO AÑO 2022'!L10</f>
        <v>1382911</v>
      </c>
      <c r="C28" s="80">
        <f>+'[2]LIBRO AÑO 2022'!S10 +'[2]LIBRO AÑO 2022'!T10 +'[2]LIBRO AÑO 2022'!U10</f>
        <v>284440</v>
      </c>
      <c r="D28" s="80">
        <f t="shared" si="4"/>
        <v>1098471</v>
      </c>
      <c r="E28" s="81">
        <f>+'[2]LIBRO AÑO 2022'!V10</f>
        <v>11758</v>
      </c>
      <c r="F28" s="80"/>
      <c r="G28" s="80">
        <f>+'[2]LIBRO AÑO 2022'!O10 +'[2]LIBRO AÑO 2022'!P10</f>
        <v>200000</v>
      </c>
      <c r="H28" s="82"/>
      <c r="I28" s="115">
        <v>1.02</v>
      </c>
      <c r="J28" s="82">
        <f t="shared" si="5"/>
        <v>1120440.42</v>
      </c>
      <c r="K28" s="82">
        <f t="shared" si="0"/>
        <v>11993.16</v>
      </c>
      <c r="L28" s="82">
        <f t="shared" si="1"/>
        <v>0</v>
      </c>
      <c r="M28" s="82">
        <f t="shared" si="2"/>
        <v>204000</v>
      </c>
      <c r="N28" s="83">
        <f t="shared" si="3"/>
        <v>0</v>
      </c>
      <c r="P28" s="82">
        <f t="shared" si="6"/>
        <v>1410569.22</v>
      </c>
      <c r="Q28" s="82">
        <f t="shared" si="7"/>
        <v>71634.789799999999</v>
      </c>
      <c r="R28" s="189">
        <f>+R27</f>
        <v>5.1799999999999999E-2</v>
      </c>
    </row>
    <row r="29" spans="1:18" x14ac:dyDescent="0.2">
      <c r="A29" s="79" t="s">
        <v>44</v>
      </c>
      <c r="B29" s="80">
        <f>+'[2]LIBRO AÑO 2022'!L11</f>
        <v>1526558</v>
      </c>
      <c r="C29" s="80">
        <f>+'[2]LIBRO AÑO 2022'!S11 +'[2]LIBRO AÑO 2022'!T11 +'[2]LIBRO AÑO 2022'!U11</f>
        <v>296138</v>
      </c>
      <c r="D29" s="80">
        <f t="shared" si="4"/>
        <v>1230420</v>
      </c>
      <c r="E29" s="81">
        <f>+'[2]LIBRO AÑO 2022'!V11</f>
        <v>16649</v>
      </c>
      <c r="F29" s="80"/>
      <c r="G29" s="80">
        <f>+'[2]LIBRO AÑO 2022'!O11 +'[2]LIBRO AÑO 2022'!P11</f>
        <v>200000</v>
      </c>
      <c r="H29" s="82"/>
      <c r="I29" s="115">
        <v>1.0189999999999999</v>
      </c>
      <c r="J29" s="82">
        <f t="shared" si="5"/>
        <v>1253797.98</v>
      </c>
      <c r="K29" s="82">
        <f t="shared" si="0"/>
        <v>16965.330999999998</v>
      </c>
      <c r="L29" s="82">
        <f t="shared" si="1"/>
        <v>0</v>
      </c>
      <c r="M29" s="82">
        <f t="shared" si="2"/>
        <v>203799.99999999997</v>
      </c>
      <c r="N29" s="83">
        <f t="shared" si="3"/>
        <v>0</v>
      </c>
      <c r="P29" s="82">
        <f t="shared" si="6"/>
        <v>1555562.602</v>
      </c>
      <c r="Q29" s="82">
        <f t="shared" si="7"/>
        <v>79075.704400000002</v>
      </c>
      <c r="R29" s="189">
        <f>+R28</f>
        <v>5.1799999999999999E-2</v>
      </c>
    </row>
    <row r="30" spans="1:18" x14ac:dyDescent="0.2">
      <c r="A30" s="79" t="s">
        <v>45</v>
      </c>
      <c r="B30" s="80">
        <f>+'[2]LIBRO AÑO 2022'!L12</f>
        <v>1513578</v>
      </c>
      <c r="C30" s="80">
        <f>+'[2]LIBRO AÑO 2022'!S12 +'[2]LIBRO AÑO 2022'!T12 +'[2]LIBRO AÑO 2022'!U12</f>
        <v>319792</v>
      </c>
      <c r="D30" s="80">
        <f t="shared" si="4"/>
        <v>1193786</v>
      </c>
      <c r="E30" s="81">
        <f>+'[2]LIBRO AÑO 2022'!V12</f>
        <v>14891</v>
      </c>
      <c r="F30" s="80"/>
      <c r="G30" s="80">
        <f>+'[2]LIBRO AÑO 2022'!O12 +'[2]LIBRO AÑO 2022'!P12</f>
        <v>200000</v>
      </c>
      <c r="H30" s="82"/>
      <c r="I30" s="115">
        <v>1.012</v>
      </c>
      <c r="J30" s="82">
        <f t="shared" si="5"/>
        <v>1208111.432</v>
      </c>
      <c r="K30" s="82">
        <f t="shared" si="0"/>
        <v>15069.692000000001</v>
      </c>
      <c r="L30" s="82">
        <f t="shared" si="1"/>
        <v>0</v>
      </c>
      <c r="M30" s="82">
        <f t="shared" si="2"/>
        <v>202400</v>
      </c>
      <c r="N30" s="83">
        <f t="shared" si="3"/>
        <v>0</v>
      </c>
      <c r="P30" s="82">
        <f t="shared" si="6"/>
        <v>1531740.936</v>
      </c>
      <c r="Q30" s="82">
        <f t="shared" si="7"/>
        <v>72197.670599999998</v>
      </c>
      <c r="R30" s="189">
        <f>0.9%+1.47%+2.4%</f>
        <v>4.7699999999999999E-2</v>
      </c>
    </row>
    <row r="31" spans="1:18" x14ac:dyDescent="0.2">
      <c r="A31" s="79" t="s">
        <v>46</v>
      </c>
      <c r="B31" s="80">
        <f>+'[2]LIBRO AÑO 2022'!L13</f>
        <v>1580427</v>
      </c>
      <c r="C31" s="80">
        <f>+'[2]LIBRO AÑO 2022'!S13 +'[2]LIBRO AÑO 2022'!T13 +'[2]LIBRO AÑO 2022'!U13</f>
        <v>304913</v>
      </c>
      <c r="D31" s="80">
        <f t="shared" si="4"/>
        <v>1275514</v>
      </c>
      <c r="E31" s="81">
        <f>+'[2]LIBRO AÑO 2022'!V13</f>
        <v>17996</v>
      </c>
      <c r="F31" s="84"/>
      <c r="G31" s="80">
        <f>+'[2]LIBRO AÑO 2022'!O13 +'[2]LIBRO AÑO 2022'!P13</f>
        <v>200000</v>
      </c>
      <c r="H31" s="82"/>
      <c r="I31" s="115">
        <v>1.0069999999999999</v>
      </c>
      <c r="J31" s="82">
        <f t="shared" si="5"/>
        <v>1284442.5979999998</v>
      </c>
      <c r="K31" s="82">
        <f t="shared" si="0"/>
        <v>18121.971999999998</v>
      </c>
      <c r="L31" s="82">
        <f t="shared" si="1"/>
        <v>0</v>
      </c>
      <c r="M31" s="82">
        <f t="shared" si="2"/>
        <v>201399.99999999997</v>
      </c>
      <c r="N31" s="83">
        <f t="shared" si="3"/>
        <v>0</v>
      </c>
      <c r="P31" s="82">
        <f t="shared" si="6"/>
        <v>1591489.9889999998</v>
      </c>
      <c r="Q31" s="82">
        <f t="shared" si="7"/>
        <v>75386.367899999997</v>
      </c>
      <c r="R31" s="189">
        <f>+R30</f>
        <v>4.7699999999999999E-2</v>
      </c>
    </row>
    <row r="32" spans="1:18" x14ac:dyDescent="0.2">
      <c r="A32" s="79" t="s">
        <v>47</v>
      </c>
      <c r="B32" s="80">
        <f>+'[2]LIBRO AÑO 2022'!L14</f>
        <v>1787206</v>
      </c>
      <c r="C32" s="80">
        <f>+'[2]LIBRO AÑO 2022'!S14 +'[2]LIBRO AÑO 2022'!T14 +'[2]LIBRO AÑO 2022'!U14</f>
        <v>354404</v>
      </c>
      <c r="D32" s="80">
        <f t="shared" si="4"/>
        <v>1432802</v>
      </c>
      <c r="E32" s="81">
        <f>+'[2]LIBRO AÑO 2022'!V14</f>
        <v>24309</v>
      </c>
      <c r="F32" s="84"/>
      <c r="G32" s="80">
        <f>+'[2]LIBRO AÑO 2022'!O14 +'[2]LIBRO AÑO 2022'!P14</f>
        <v>200000</v>
      </c>
      <c r="H32" s="82"/>
      <c r="I32" s="115">
        <v>1</v>
      </c>
      <c r="J32" s="82">
        <f t="shared" si="5"/>
        <v>1432802</v>
      </c>
      <c r="K32" s="82">
        <f t="shared" si="0"/>
        <v>24309</v>
      </c>
      <c r="L32" s="82">
        <f t="shared" si="1"/>
        <v>0</v>
      </c>
      <c r="M32" s="82">
        <f t="shared" si="2"/>
        <v>200000</v>
      </c>
      <c r="N32" s="83">
        <f t="shared" si="3"/>
        <v>0</v>
      </c>
      <c r="P32" s="82">
        <f t="shared" si="6"/>
        <v>1787206</v>
      </c>
      <c r="Q32" s="82">
        <f t="shared" si="7"/>
        <v>85249.726200000005</v>
      </c>
      <c r="R32" s="189">
        <f>+R31</f>
        <v>4.7699999999999999E-2</v>
      </c>
    </row>
    <row r="33" spans="1:17" x14ac:dyDescent="0.2">
      <c r="A33" s="79"/>
      <c r="B33" s="80"/>
      <c r="C33" s="80"/>
      <c r="D33" s="80"/>
      <c r="E33" s="80"/>
      <c r="F33" s="84"/>
      <c r="G33" s="80"/>
      <c r="H33" s="82"/>
      <c r="I33" s="85"/>
      <c r="J33" s="82"/>
      <c r="K33" s="82"/>
      <c r="L33" s="82"/>
      <c r="M33" s="82"/>
      <c r="N33" s="83"/>
      <c r="P33" s="82">
        <f>+B33*I33</f>
        <v>0</v>
      </c>
      <c r="Q33" s="82">
        <f>+C33*J33</f>
        <v>0</v>
      </c>
    </row>
    <row r="34" spans="1:17" ht="15.75" x14ac:dyDescent="0.25">
      <c r="A34" s="86" t="s">
        <v>142</v>
      </c>
      <c r="B34" s="87">
        <f>SUM(B21:B32)</f>
        <v>18186824</v>
      </c>
      <c r="C34" s="87">
        <f t="shared" ref="C34:N34" si="9">SUM(C21:C32)</f>
        <v>3629720</v>
      </c>
      <c r="D34" s="87">
        <f t="shared" si="9"/>
        <v>14557104</v>
      </c>
      <c r="E34" s="87">
        <f t="shared" si="9"/>
        <v>205178</v>
      </c>
      <c r="F34" s="87">
        <f t="shared" si="9"/>
        <v>0</v>
      </c>
      <c r="G34" s="87">
        <f t="shared" si="9"/>
        <v>2400000</v>
      </c>
      <c r="H34" s="87">
        <f t="shared" si="9"/>
        <v>0</v>
      </c>
      <c r="I34" s="87">
        <f t="shared" si="9"/>
        <v>12.270999999999999</v>
      </c>
      <c r="J34" s="87">
        <f t="shared" si="9"/>
        <v>14880089.466999998</v>
      </c>
      <c r="K34" s="87">
        <f t="shared" si="9"/>
        <v>209750.89700000003</v>
      </c>
      <c r="L34" s="87">
        <f t="shared" si="9"/>
        <v>0</v>
      </c>
      <c r="M34" s="87">
        <f t="shared" si="9"/>
        <v>2454200</v>
      </c>
      <c r="N34" s="87">
        <f t="shared" si="9"/>
        <v>0</v>
      </c>
      <c r="P34" s="88">
        <f>SUM(P21:P32)</f>
        <v>18590012.622000001</v>
      </c>
      <c r="Q34" s="88">
        <f>SUM(Q21:Q32)</f>
        <v>895859.74580000003</v>
      </c>
    </row>
    <row r="35" spans="1:17" ht="15.75" x14ac:dyDescent="0.25">
      <c r="A35" s="66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7" x14ac:dyDescent="0.2">
      <c r="A36" s="91" t="s">
        <v>143</v>
      </c>
      <c r="B36" s="52"/>
      <c r="C36" s="52"/>
      <c r="D36" s="52"/>
      <c r="E36" s="52"/>
      <c r="F36" s="52"/>
      <c r="G36" s="92" t="s">
        <v>144</v>
      </c>
      <c r="H36" s="52"/>
      <c r="I36" s="52"/>
      <c r="J36" s="52"/>
      <c r="K36" s="52"/>
      <c r="L36" s="52"/>
      <c r="M36" s="52"/>
      <c r="N36" s="53"/>
    </row>
    <row r="37" spans="1:17" x14ac:dyDescent="0.2">
      <c r="A37" s="57" t="s">
        <v>145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spans="1:17" x14ac:dyDescent="0.2">
      <c r="A38" s="57"/>
      <c r="B38" s="52"/>
      <c r="C38" s="52"/>
      <c r="D38" s="52"/>
      <c r="E38" s="52"/>
      <c r="F38" s="52"/>
      <c r="G38" s="52"/>
      <c r="H38" s="52"/>
      <c r="I38" s="52"/>
      <c r="J38" s="93"/>
      <c r="K38" s="52"/>
      <c r="L38" s="52"/>
      <c r="M38" s="52"/>
      <c r="N38" s="53"/>
    </row>
    <row r="39" spans="1:17" ht="15.75" x14ac:dyDescent="0.25">
      <c r="A39" s="57"/>
      <c r="B39" s="52"/>
      <c r="C39" s="52"/>
      <c r="D39" s="52"/>
      <c r="E39" s="52"/>
      <c r="F39" s="52"/>
      <c r="G39" s="52"/>
      <c r="I39" s="52"/>
      <c r="J39" s="60"/>
      <c r="K39" s="51"/>
      <c r="L39" s="119" t="s">
        <v>157</v>
      </c>
      <c r="M39" s="119"/>
      <c r="N39" s="119"/>
    </row>
    <row r="40" spans="1:17" ht="15.75" x14ac:dyDescent="0.25">
      <c r="A40" s="57"/>
      <c r="B40" s="52"/>
      <c r="C40" s="52"/>
      <c r="D40" s="52"/>
      <c r="E40" s="52"/>
      <c r="F40" s="52"/>
      <c r="G40" s="52"/>
      <c r="H40" s="52"/>
      <c r="I40" s="52"/>
      <c r="J40" s="60"/>
      <c r="K40" s="51"/>
      <c r="L40" s="51" t="s">
        <v>146</v>
      </c>
      <c r="M40" s="51"/>
      <c r="N40" s="53"/>
      <c r="O40" s="94"/>
      <c r="P40" s="56"/>
    </row>
    <row r="41" spans="1:17" ht="15.75" x14ac:dyDescent="0.25">
      <c r="A41" s="57"/>
      <c r="B41" s="52"/>
      <c r="C41" s="52"/>
      <c r="D41" s="52"/>
      <c r="E41" s="52"/>
      <c r="F41" s="52"/>
      <c r="G41" s="52"/>
      <c r="H41" s="52"/>
      <c r="I41" s="52"/>
      <c r="J41" s="60"/>
      <c r="K41" s="95"/>
      <c r="L41" s="51" t="s">
        <v>158</v>
      </c>
      <c r="M41" s="95"/>
      <c r="N41" s="53"/>
    </row>
    <row r="42" spans="1:17" ht="15.75" thickBot="1" x14ac:dyDescent="0.25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7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</row>
    <row r="44" spans="1:17" ht="15.75" x14ac:dyDescent="0.25">
      <c r="A44" s="50" t="s">
        <v>110</v>
      </c>
      <c r="B44" s="51"/>
      <c r="C44" s="51" t="str">
        <f>+C2</f>
        <v>HERMANOS ROJAS LTDA</v>
      </c>
      <c r="D44" s="51"/>
      <c r="E44" s="51"/>
      <c r="F44" s="51"/>
      <c r="G44" s="51"/>
      <c r="H44" s="52"/>
      <c r="I44" s="52"/>
      <c r="J44" s="52"/>
      <c r="K44" s="52"/>
      <c r="L44" s="52"/>
      <c r="M44" s="52"/>
      <c r="N44" s="53"/>
    </row>
    <row r="45" spans="1:17" ht="15.75" x14ac:dyDescent="0.25">
      <c r="A45" s="50" t="s">
        <v>111</v>
      </c>
      <c r="B45" s="51"/>
      <c r="C45" s="51" t="str">
        <f>+C3</f>
        <v>76.999-666-9</v>
      </c>
      <c r="D45" s="51"/>
      <c r="E45" s="51"/>
      <c r="F45" s="51"/>
      <c r="G45" s="51"/>
      <c r="H45" s="52"/>
      <c r="I45" s="52"/>
      <c r="J45" s="52"/>
      <c r="K45" s="52"/>
      <c r="L45" s="52"/>
      <c r="M45" s="52"/>
      <c r="N45" s="53"/>
    </row>
    <row r="46" spans="1:17" ht="15.75" x14ac:dyDescent="0.25">
      <c r="A46" s="50" t="s">
        <v>112</v>
      </c>
      <c r="B46" s="51"/>
      <c r="C46" s="51" t="str">
        <f>+C4</f>
        <v xml:space="preserve">LOS LAGOS 444 , VALDIVIA, </v>
      </c>
      <c r="D46" s="51"/>
      <c r="E46" s="51"/>
      <c r="F46" s="51"/>
      <c r="G46" s="51"/>
      <c r="H46" s="52"/>
      <c r="I46" s="52"/>
      <c r="J46" s="52"/>
      <c r="K46" s="52"/>
      <c r="L46" s="52"/>
      <c r="M46" s="52"/>
      <c r="N46" s="53"/>
    </row>
    <row r="47" spans="1:17" ht="15.75" x14ac:dyDescent="0.25">
      <c r="A47" s="50" t="s">
        <v>113</v>
      </c>
      <c r="B47" s="51"/>
      <c r="C47" s="51" t="str">
        <f>+C5</f>
        <v>RESIDENCIAL</v>
      </c>
      <c r="D47" s="51"/>
      <c r="E47" s="51"/>
      <c r="F47" s="51"/>
      <c r="G47" s="51"/>
      <c r="H47" s="52"/>
      <c r="I47" s="52"/>
      <c r="J47" s="52"/>
      <c r="K47" s="52"/>
      <c r="L47" s="52"/>
      <c r="M47" s="52"/>
      <c r="N47" s="53"/>
    </row>
    <row r="48" spans="1:17" ht="15.75" x14ac:dyDescent="0.25">
      <c r="A48" s="57"/>
      <c r="B48" s="52"/>
      <c r="C48" s="52"/>
      <c r="D48" s="52"/>
      <c r="E48" s="52"/>
      <c r="F48" s="52"/>
      <c r="G48" s="52"/>
      <c r="H48" s="52"/>
      <c r="I48" s="52"/>
      <c r="J48" s="52"/>
      <c r="K48" s="58" t="s">
        <v>114</v>
      </c>
      <c r="L48" s="59" t="s">
        <v>11</v>
      </c>
      <c r="M48" s="60">
        <f>+M6+1</f>
        <v>2</v>
      </c>
      <c r="N48" s="53"/>
    </row>
    <row r="49" spans="1:18" ht="15.75" x14ac:dyDescent="0.25">
      <c r="A49" s="57"/>
      <c r="B49" s="52"/>
      <c r="C49" s="52"/>
      <c r="D49" s="52"/>
      <c r="E49" s="52"/>
      <c r="F49" s="52"/>
      <c r="G49" s="52"/>
      <c r="H49" s="52"/>
      <c r="I49" s="52"/>
      <c r="J49" s="52"/>
      <c r="K49" s="51" t="str">
        <f>+K7</f>
        <v xml:space="preserve">Olmué </v>
      </c>
      <c r="L49" s="51" t="str">
        <f>+L7</f>
        <v>23 DE MARZO 2024</v>
      </c>
      <c r="M49" s="52"/>
      <c r="N49" s="53"/>
    </row>
    <row r="50" spans="1:18" x14ac:dyDescent="0.2">
      <c r="A50" s="57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3"/>
    </row>
    <row r="51" spans="1:18" x14ac:dyDescent="0.2">
      <c r="A51" s="57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3"/>
    </row>
    <row r="52" spans="1:18" x14ac:dyDescent="0.2">
      <c r="A52" s="57"/>
      <c r="B52" s="52"/>
      <c r="C52" s="62" t="s">
        <v>116</v>
      </c>
      <c r="D52" s="63"/>
      <c r="E52" s="63"/>
      <c r="F52" s="63"/>
      <c r="G52" s="63"/>
      <c r="H52" s="63"/>
      <c r="I52" s="63"/>
      <c r="J52" s="52"/>
      <c r="K52" s="52"/>
      <c r="L52" s="52"/>
      <c r="M52" s="52"/>
      <c r="N52" s="53"/>
    </row>
    <row r="53" spans="1:18" x14ac:dyDescent="0.2">
      <c r="A53" s="57"/>
      <c r="B53" s="52"/>
      <c r="C53" s="64"/>
      <c r="D53" s="64"/>
      <c r="E53" s="52"/>
      <c r="F53" s="52"/>
      <c r="G53" s="52"/>
      <c r="H53" s="52"/>
      <c r="I53" s="52"/>
      <c r="J53" s="52"/>
      <c r="K53" s="52"/>
      <c r="L53" s="52"/>
      <c r="M53" s="52"/>
      <c r="N53" s="53"/>
    </row>
    <row r="54" spans="1:18" x14ac:dyDescent="0.2">
      <c r="A54" s="57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3"/>
    </row>
    <row r="55" spans="1:18" x14ac:dyDescent="0.2">
      <c r="A55" s="57" t="s">
        <v>117</v>
      </c>
      <c r="B55" s="52" t="str">
        <f>+C44</f>
        <v>HERMANOS ROJAS LTDA</v>
      </c>
      <c r="C55" s="52"/>
      <c r="D55" s="52"/>
      <c r="E55" s="52" t="s">
        <v>118</v>
      </c>
      <c r="F55" s="52"/>
      <c r="G55" s="52"/>
      <c r="H55" s="52" t="str">
        <f>+'LIBRO REMUNERACIONES'!F7</f>
        <v>MARIA ANTONIETA DELGADO PEREZ</v>
      </c>
      <c r="I55" s="52"/>
      <c r="J55" s="52"/>
      <c r="K55" s="52"/>
      <c r="L55" s="52"/>
      <c r="M55" s="52"/>
      <c r="N55" s="53"/>
    </row>
    <row r="56" spans="1:18" x14ac:dyDescent="0.2">
      <c r="A56" s="57" t="s">
        <v>119</v>
      </c>
      <c r="B56" s="65" t="str">
        <f>+'LIBRO REMUNERACIONES'!C7</f>
        <v>13.690.218-4</v>
      </c>
      <c r="C56" s="52" t="str">
        <f>+C14</f>
        <v xml:space="preserve">             en su calidad de empleado dependiente, durante el año  2023, se le han pagado las rentas que se indican y sobre las cuales se le practicaron las retenciones 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8" x14ac:dyDescent="0.2">
      <c r="A57" s="57" t="s">
        <v>120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/>
    </row>
    <row r="58" spans="1:18" ht="15.75" x14ac:dyDescent="0.25">
      <c r="A58" s="66"/>
      <c r="B58" s="51"/>
      <c r="C58" s="51"/>
      <c r="D58" s="51"/>
      <c r="E58" s="51"/>
      <c r="F58" s="51"/>
      <c r="G58" s="51"/>
      <c r="H58" s="51"/>
      <c r="I58" s="51"/>
      <c r="J58" s="118" t="s">
        <v>121</v>
      </c>
      <c r="K58" s="118"/>
      <c r="L58" s="118"/>
      <c r="M58" s="118"/>
      <c r="N58" s="118"/>
    </row>
    <row r="59" spans="1:18" ht="15.75" x14ac:dyDescent="0.25">
      <c r="A59" s="67" t="s">
        <v>122</v>
      </c>
      <c r="B59" s="68" t="s">
        <v>71</v>
      </c>
      <c r="C59" s="69" t="s">
        <v>123</v>
      </c>
      <c r="D59" s="68" t="s">
        <v>124</v>
      </c>
      <c r="E59" s="68" t="s">
        <v>125</v>
      </c>
      <c r="F59" s="69" t="s">
        <v>125</v>
      </c>
      <c r="G59" s="68" t="s">
        <v>124</v>
      </c>
      <c r="H59" s="68" t="s">
        <v>124</v>
      </c>
      <c r="I59" s="69" t="s">
        <v>126</v>
      </c>
      <c r="J59" s="68" t="s">
        <v>124</v>
      </c>
      <c r="K59" s="68" t="s">
        <v>127</v>
      </c>
      <c r="L59" s="68" t="s">
        <v>128</v>
      </c>
      <c r="M59" s="68" t="s">
        <v>124</v>
      </c>
      <c r="N59" s="70" t="s">
        <v>124</v>
      </c>
      <c r="P59" s="68" t="s">
        <v>71</v>
      </c>
      <c r="Q59" s="68" t="s">
        <v>181</v>
      </c>
      <c r="R59" s="68"/>
    </row>
    <row r="60" spans="1:18" ht="15.75" x14ac:dyDescent="0.25">
      <c r="A60" s="66"/>
      <c r="B60" s="71" t="s">
        <v>129</v>
      </c>
      <c r="C60" s="59" t="s">
        <v>130</v>
      </c>
      <c r="D60" s="71" t="s">
        <v>131</v>
      </c>
      <c r="E60" s="71" t="s">
        <v>103</v>
      </c>
      <c r="F60" s="59" t="s">
        <v>103</v>
      </c>
      <c r="G60" s="71" t="s">
        <v>132</v>
      </c>
      <c r="H60" s="71" t="s">
        <v>133</v>
      </c>
      <c r="I60" s="59" t="s">
        <v>134</v>
      </c>
      <c r="J60" s="71" t="s">
        <v>131</v>
      </c>
      <c r="K60" s="71" t="s">
        <v>103</v>
      </c>
      <c r="L60" s="71" t="s">
        <v>103</v>
      </c>
      <c r="M60" s="71" t="s">
        <v>132</v>
      </c>
      <c r="N60" s="72" t="s">
        <v>133</v>
      </c>
      <c r="P60" s="71" t="s">
        <v>129</v>
      </c>
      <c r="Q60" s="71" t="s">
        <v>182</v>
      </c>
      <c r="R60" s="71"/>
    </row>
    <row r="61" spans="1:18" ht="15.75" x14ac:dyDescent="0.25">
      <c r="A61" s="66"/>
      <c r="B61" s="71"/>
      <c r="C61" s="59"/>
      <c r="D61" s="71"/>
      <c r="E61" s="71" t="s">
        <v>135</v>
      </c>
      <c r="F61" s="59" t="s">
        <v>136</v>
      </c>
      <c r="G61" s="71" t="s">
        <v>137</v>
      </c>
      <c r="H61" s="71" t="s">
        <v>138</v>
      </c>
      <c r="I61" s="59"/>
      <c r="J61" s="71"/>
      <c r="K61" s="71" t="s">
        <v>135</v>
      </c>
      <c r="L61" s="71" t="s">
        <v>136</v>
      </c>
      <c r="M61" s="71" t="s">
        <v>137</v>
      </c>
      <c r="N61" s="72" t="s">
        <v>138</v>
      </c>
      <c r="P61" s="71" t="s">
        <v>139</v>
      </c>
      <c r="Q61" s="71" t="s">
        <v>183</v>
      </c>
      <c r="R61" s="71" t="s">
        <v>189</v>
      </c>
    </row>
    <row r="62" spans="1:18" ht="15.75" x14ac:dyDescent="0.25">
      <c r="A62" s="66"/>
      <c r="B62" s="102"/>
      <c r="C62" s="51"/>
      <c r="D62" s="102"/>
      <c r="E62" s="71"/>
      <c r="F62" s="59"/>
      <c r="G62" s="71" t="s">
        <v>140</v>
      </c>
      <c r="H62" s="71" t="s">
        <v>141</v>
      </c>
      <c r="I62" s="59"/>
      <c r="J62" s="71"/>
      <c r="K62" s="71"/>
      <c r="L62" s="71"/>
      <c r="M62" s="71" t="s">
        <v>140</v>
      </c>
      <c r="N62" s="72" t="s">
        <v>141</v>
      </c>
      <c r="P62" s="74"/>
      <c r="Q62" s="74" t="s">
        <v>184</v>
      </c>
      <c r="R62" s="74"/>
    </row>
    <row r="63" spans="1:18" ht="15.75" x14ac:dyDescent="0.25">
      <c r="A63" s="103" t="s">
        <v>36</v>
      </c>
      <c r="B63" s="104">
        <f>+'[2]LIBRO AÑO 2022'!L15</f>
        <v>546275</v>
      </c>
      <c r="C63" s="105">
        <f>+'[2]LIBRO AÑO 2022'!S15+'[2]LIBRO AÑO 2022'!T15+'[2]LIBRO AÑO 2022'!U15</f>
        <v>100787</v>
      </c>
      <c r="D63" s="104">
        <f>+B63-C63</f>
        <v>445488</v>
      </c>
      <c r="E63" s="81">
        <f>+'[2]LIBRO AÑO 2022'!Q15</f>
        <v>0</v>
      </c>
      <c r="F63" s="81"/>
      <c r="G63" s="80">
        <f>+'LIBRO REMUNERACIONES'!P7</f>
        <v>8815</v>
      </c>
      <c r="H63" s="81"/>
      <c r="I63" s="115">
        <v>1.0449999999999999</v>
      </c>
      <c r="J63" s="81">
        <f t="shared" ref="J63:J74" si="10">+D63*I63</f>
        <v>465534.95999999996</v>
      </c>
      <c r="K63" s="81">
        <f t="shared" ref="K63:K74" si="11">+E63*I63</f>
        <v>0</v>
      </c>
      <c r="L63" s="81">
        <f t="shared" ref="L63:L74" si="12">+F63*I63</f>
        <v>0</v>
      </c>
      <c r="M63" s="81">
        <f t="shared" ref="M63:M74" si="13">+G63*I63</f>
        <v>9211.6749999999993</v>
      </c>
      <c r="N63" s="81">
        <f t="shared" ref="N63:N74" si="14">+H63*I63</f>
        <v>0</v>
      </c>
      <c r="P63" s="82">
        <f>+B63*I63</f>
        <v>570857.375</v>
      </c>
      <c r="Q63" s="82">
        <f>+B63*R63</f>
        <v>26658.22</v>
      </c>
      <c r="R63" s="189">
        <f>0.9%+1.55%+2.4%+0.03%</f>
        <v>4.8800000000000003E-2</v>
      </c>
    </row>
    <row r="64" spans="1:18" ht="15.75" x14ac:dyDescent="0.25">
      <c r="A64" s="103" t="s">
        <v>37</v>
      </c>
      <c r="B64" s="104">
        <f>+'[2]LIBRO AÑO 2022'!L16</f>
        <v>510909</v>
      </c>
      <c r="C64" s="105">
        <f>+'[2]LIBRO AÑO 2022'!S16+'[2]LIBRO AÑO 2022'!T16+'[2]LIBRO AÑO 2022'!U16</f>
        <v>94263</v>
      </c>
      <c r="D64" s="104">
        <f t="shared" ref="D64:D71" si="15">+B64-C64</f>
        <v>416646</v>
      </c>
      <c r="E64" s="81">
        <f>+'[2]LIBRO AÑO 2022'!Q11</f>
        <v>0</v>
      </c>
      <c r="F64" s="81"/>
      <c r="G64" s="80">
        <f>+G63</f>
        <v>8815</v>
      </c>
      <c r="H64" s="81"/>
      <c r="I64" s="115">
        <v>1.0369999999999999</v>
      </c>
      <c r="J64" s="81">
        <f t="shared" si="10"/>
        <v>432061.90199999994</v>
      </c>
      <c r="K64" s="81">
        <f t="shared" si="11"/>
        <v>0</v>
      </c>
      <c r="L64" s="81">
        <f t="shared" si="12"/>
        <v>0</v>
      </c>
      <c r="M64" s="81">
        <f t="shared" si="13"/>
        <v>9141.1549999999988</v>
      </c>
      <c r="N64" s="81">
        <f t="shared" si="14"/>
        <v>0</v>
      </c>
      <c r="P64" s="82">
        <f t="shared" ref="P64:P75" si="16">+B64*I64</f>
        <v>529812.63299999991</v>
      </c>
      <c r="Q64" s="82">
        <f t="shared" ref="Q64:Q74" si="17">+B64*R64</f>
        <v>24932.359200000003</v>
      </c>
      <c r="R64" s="189">
        <f>+R63</f>
        <v>4.8800000000000003E-2</v>
      </c>
    </row>
    <row r="65" spans="1:18" ht="15.75" x14ac:dyDescent="0.25">
      <c r="A65" s="103" t="s">
        <v>38</v>
      </c>
      <c r="B65" s="104">
        <f>+'[2]LIBRO AÑO 2022'!L17</f>
        <v>510909</v>
      </c>
      <c r="C65" s="105">
        <f>+'[2]LIBRO AÑO 2022'!S17+'[2]LIBRO AÑO 2022'!T17+'[2]LIBRO AÑO 2022'!U17</f>
        <v>94263</v>
      </c>
      <c r="D65" s="104">
        <f t="shared" si="15"/>
        <v>416646</v>
      </c>
      <c r="E65" s="81">
        <f>+'[2]LIBRO AÑO 2022'!Q12</f>
        <v>0</v>
      </c>
      <c r="F65" s="81"/>
      <c r="G65" s="80">
        <f t="shared" ref="G65:G71" si="18">+G64</f>
        <v>8815</v>
      </c>
      <c r="H65" s="81"/>
      <c r="I65" s="115">
        <f>+I64</f>
        <v>1.0369999999999999</v>
      </c>
      <c r="J65" s="81">
        <f t="shared" si="10"/>
        <v>432061.90199999994</v>
      </c>
      <c r="K65" s="81">
        <f t="shared" si="11"/>
        <v>0</v>
      </c>
      <c r="L65" s="81">
        <f t="shared" si="12"/>
        <v>0</v>
      </c>
      <c r="M65" s="81">
        <f t="shared" si="13"/>
        <v>9141.1549999999988</v>
      </c>
      <c r="N65" s="81">
        <f t="shared" si="14"/>
        <v>0</v>
      </c>
      <c r="P65" s="82">
        <f t="shared" si="16"/>
        <v>529812.63299999991</v>
      </c>
      <c r="Q65" s="82">
        <f t="shared" si="17"/>
        <v>24932.359200000003</v>
      </c>
      <c r="R65" s="189">
        <f>+R64</f>
        <v>4.8800000000000003E-2</v>
      </c>
    </row>
    <row r="66" spans="1:18" ht="15.75" x14ac:dyDescent="0.25">
      <c r="A66" s="103" t="s">
        <v>39</v>
      </c>
      <c r="B66" s="104">
        <f>+'[2]LIBRO AÑO 2022'!L18</f>
        <v>575734</v>
      </c>
      <c r="C66" s="105">
        <f>+'[2]LIBRO AÑO 2022'!S18+'[2]LIBRO AÑO 2022'!T18+'[2]LIBRO AÑO 2022'!U18</f>
        <v>106222</v>
      </c>
      <c r="D66" s="104">
        <f t="shared" si="15"/>
        <v>469512</v>
      </c>
      <c r="E66" s="81">
        <f>+'[2]LIBRO AÑO 2022'!Q13</f>
        <v>0</v>
      </c>
      <c r="F66" s="81"/>
      <c r="G66" s="80">
        <f t="shared" si="18"/>
        <v>8815</v>
      </c>
      <c r="H66" s="81"/>
      <c r="I66" s="115">
        <v>1.026</v>
      </c>
      <c r="J66" s="81">
        <f t="shared" si="10"/>
        <v>481719.31200000003</v>
      </c>
      <c r="K66" s="81">
        <f t="shared" si="11"/>
        <v>0</v>
      </c>
      <c r="L66" s="81">
        <f t="shared" si="12"/>
        <v>0</v>
      </c>
      <c r="M66" s="81">
        <f t="shared" si="13"/>
        <v>9044.19</v>
      </c>
      <c r="N66" s="81">
        <f t="shared" si="14"/>
        <v>0</v>
      </c>
      <c r="P66" s="82">
        <f t="shared" si="16"/>
        <v>590703.08400000003</v>
      </c>
      <c r="Q66" s="82">
        <f t="shared" si="17"/>
        <v>28441.259600000005</v>
      </c>
      <c r="R66" s="189">
        <f>0.9%+1.61%+2.4%+0.03%</f>
        <v>4.9400000000000006E-2</v>
      </c>
    </row>
    <row r="67" spans="1:18" ht="15.75" x14ac:dyDescent="0.25">
      <c r="A67" s="103" t="s">
        <v>40</v>
      </c>
      <c r="B67" s="104">
        <f>+'[2]LIBRO AÑO 2022'!L19</f>
        <v>581641</v>
      </c>
      <c r="C67" s="105">
        <f>+'[2]LIBRO AÑO 2022'!S19+'[2]LIBRO AÑO 2022'!T19+'[2]LIBRO AÑO 2022'!U19</f>
        <v>107313</v>
      </c>
      <c r="D67" s="104">
        <f t="shared" si="15"/>
        <v>474328</v>
      </c>
      <c r="E67" s="81">
        <f>+'[2]LIBRO AÑO 2022'!Q14</f>
        <v>0</v>
      </c>
      <c r="F67" s="81"/>
      <c r="G67" s="80">
        <v>9571</v>
      </c>
      <c r="H67" s="81"/>
      <c r="I67" s="115">
        <v>1.0229999999999999</v>
      </c>
      <c r="J67" s="81">
        <f t="shared" si="10"/>
        <v>485237.54399999994</v>
      </c>
      <c r="K67" s="81">
        <f t="shared" si="11"/>
        <v>0</v>
      </c>
      <c r="L67" s="81">
        <f t="shared" si="12"/>
        <v>0</v>
      </c>
      <c r="M67" s="81">
        <f t="shared" si="13"/>
        <v>9791.1329999999998</v>
      </c>
      <c r="N67" s="81">
        <f t="shared" si="14"/>
        <v>0</v>
      </c>
      <c r="P67" s="82">
        <f t="shared" si="16"/>
        <v>595018.7429999999</v>
      </c>
      <c r="Q67" s="82">
        <f t="shared" si="17"/>
        <v>28733.065400000003</v>
      </c>
      <c r="R67" s="189">
        <f>+R66</f>
        <v>4.9400000000000006E-2</v>
      </c>
    </row>
    <row r="68" spans="1:18" ht="15.75" x14ac:dyDescent="0.25">
      <c r="A68" s="103" t="s">
        <v>41</v>
      </c>
      <c r="B68" s="104">
        <f>+'[2]LIBRO AÑO 2022'!L20</f>
        <v>581641</v>
      </c>
      <c r="C68" s="105">
        <f>+'[2]LIBRO AÑO 2022'!S20+'[2]LIBRO AÑO 2022'!T20+'[2]LIBRO AÑO 2022'!U20</f>
        <v>107313</v>
      </c>
      <c r="D68" s="104">
        <f t="shared" si="15"/>
        <v>474328</v>
      </c>
      <c r="E68" s="81">
        <f>+'[2]LIBRO AÑO 2022'!Q15</f>
        <v>0</v>
      </c>
      <c r="F68" s="81"/>
      <c r="G68" s="80">
        <f>+'LIBRO REMUNERACIONES'!P46</f>
        <v>9571</v>
      </c>
      <c r="H68" s="81"/>
      <c r="I68" s="115">
        <v>1.022</v>
      </c>
      <c r="J68" s="81">
        <f t="shared" si="10"/>
        <v>484763.21600000001</v>
      </c>
      <c r="K68" s="81">
        <f t="shared" si="11"/>
        <v>0</v>
      </c>
      <c r="L68" s="81">
        <f t="shared" si="12"/>
        <v>0</v>
      </c>
      <c r="M68" s="81">
        <f t="shared" si="13"/>
        <v>9781.5619999999999</v>
      </c>
      <c r="N68" s="81">
        <f t="shared" si="14"/>
        <v>0</v>
      </c>
      <c r="P68" s="82">
        <f t="shared" si="16"/>
        <v>594437.10199999996</v>
      </c>
      <c r="Q68" s="82">
        <f t="shared" si="17"/>
        <v>28733.065400000003</v>
      </c>
      <c r="R68" s="189">
        <f>+R67</f>
        <v>4.9400000000000006E-2</v>
      </c>
    </row>
    <row r="69" spans="1:18" ht="15.75" x14ac:dyDescent="0.25">
      <c r="A69" s="103" t="s">
        <v>42</v>
      </c>
      <c r="B69" s="104">
        <f>+'[2]LIBRO AÑO 2022'!L21</f>
        <v>546275</v>
      </c>
      <c r="C69" s="105">
        <f>+'[2]LIBRO AÑO 2022'!S21+'[2]LIBRO AÑO 2022'!T21+'[2]LIBRO AÑO 2022'!U21</f>
        <v>100787</v>
      </c>
      <c r="D69" s="104">
        <f t="shared" si="15"/>
        <v>445488</v>
      </c>
      <c r="E69" s="81">
        <f>+'[2]LIBRO AÑO 2022'!Q16</f>
        <v>0</v>
      </c>
      <c r="F69" s="81"/>
      <c r="G69" s="80">
        <f t="shared" si="18"/>
        <v>9571</v>
      </c>
      <c r="H69" s="81"/>
      <c r="I69" s="115">
        <f>+I67</f>
        <v>1.0229999999999999</v>
      </c>
      <c r="J69" s="81">
        <f t="shared" si="10"/>
        <v>455734.22399999999</v>
      </c>
      <c r="K69" s="81">
        <f t="shared" si="11"/>
        <v>0</v>
      </c>
      <c r="L69" s="81">
        <f t="shared" si="12"/>
        <v>0</v>
      </c>
      <c r="M69" s="81">
        <f t="shared" si="13"/>
        <v>9791.1329999999998</v>
      </c>
      <c r="N69" s="81">
        <f t="shared" si="14"/>
        <v>0</v>
      </c>
      <c r="P69" s="82">
        <f t="shared" si="16"/>
        <v>558839.32499999995</v>
      </c>
      <c r="Q69" s="82">
        <f t="shared" si="17"/>
        <v>28460.927500000002</v>
      </c>
      <c r="R69" s="189">
        <f>0.9%+1.88%+2.4%+0.03%</f>
        <v>5.21E-2</v>
      </c>
    </row>
    <row r="70" spans="1:18" ht="15.75" x14ac:dyDescent="0.25">
      <c r="A70" s="103" t="s">
        <v>43</v>
      </c>
      <c r="B70" s="104">
        <f>+'[2]LIBRO AÑO 2022'!L22</f>
        <v>546275</v>
      </c>
      <c r="C70" s="105">
        <f>+'[2]LIBRO AÑO 2022'!S22+'[2]LIBRO AÑO 2022'!T22+'[2]LIBRO AÑO 2022'!U22</f>
        <v>100787</v>
      </c>
      <c r="D70" s="104">
        <f t="shared" si="15"/>
        <v>445488</v>
      </c>
      <c r="E70" s="81">
        <f>+'[2]LIBRO AÑO 2022'!Q17</f>
        <v>0</v>
      </c>
      <c r="F70" s="81"/>
      <c r="G70" s="80">
        <f>+'LIBRO REMUNERACIONES'!P62</f>
        <v>10075</v>
      </c>
      <c r="H70" s="81"/>
      <c r="I70" s="115">
        <v>1.02</v>
      </c>
      <c r="J70" s="81">
        <f t="shared" si="10"/>
        <v>454397.76</v>
      </c>
      <c r="K70" s="81">
        <f t="shared" si="11"/>
        <v>0</v>
      </c>
      <c r="L70" s="81">
        <f t="shared" si="12"/>
        <v>0</v>
      </c>
      <c r="M70" s="81">
        <f t="shared" si="13"/>
        <v>10276.5</v>
      </c>
      <c r="N70" s="81">
        <f t="shared" si="14"/>
        <v>0</v>
      </c>
      <c r="P70" s="82">
        <f t="shared" si="16"/>
        <v>557200.5</v>
      </c>
      <c r="Q70" s="82">
        <f t="shared" si="17"/>
        <v>28460.927500000002</v>
      </c>
      <c r="R70" s="189">
        <f>+R69</f>
        <v>5.21E-2</v>
      </c>
    </row>
    <row r="71" spans="1:18" ht="15.75" x14ac:dyDescent="0.25">
      <c r="A71" s="103" t="s">
        <v>44</v>
      </c>
      <c r="B71" s="104">
        <f>+'[2]LIBRO AÑO 2022'!L23</f>
        <v>711290</v>
      </c>
      <c r="C71" s="105">
        <f>+'[2]LIBRO AÑO 2022'!S23+'[2]LIBRO AÑO 2022'!T23+'[2]LIBRO AÑO 2022'!U23</f>
        <v>131233</v>
      </c>
      <c r="D71" s="104">
        <f t="shared" si="15"/>
        <v>580057</v>
      </c>
      <c r="E71" s="81">
        <f>+'[2]LIBRO AÑO 2022'!Q18</f>
        <v>0</v>
      </c>
      <c r="F71" s="81"/>
      <c r="G71" s="80">
        <f t="shared" si="18"/>
        <v>10075</v>
      </c>
      <c r="H71" s="81"/>
      <c r="I71" s="115">
        <v>1.0189999999999999</v>
      </c>
      <c r="J71" s="81">
        <f t="shared" si="10"/>
        <v>591078.08299999998</v>
      </c>
      <c r="K71" s="81">
        <f t="shared" si="11"/>
        <v>0</v>
      </c>
      <c r="L71" s="81">
        <f t="shared" si="12"/>
        <v>0</v>
      </c>
      <c r="M71" s="81">
        <f t="shared" si="13"/>
        <v>10266.424999999999</v>
      </c>
      <c r="N71" s="81">
        <f t="shared" si="14"/>
        <v>0</v>
      </c>
      <c r="P71" s="82">
        <f t="shared" si="16"/>
        <v>724804.50999999989</v>
      </c>
      <c r="Q71" s="82">
        <f t="shared" si="17"/>
        <v>37058.209000000003</v>
      </c>
      <c r="R71" s="189">
        <f>+R70</f>
        <v>5.21E-2</v>
      </c>
    </row>
    <row r="72" spans="1:18" ht="15.75" x14ac:dyDescent="0.25">
      <c r="A72" s="103" t="s">
        <v>45</v>
      </c>
      <c r="B72" s="104"/>
      <c r="C72" s="105"/>
      <c r="D72" s="104"/>
      <c r="E72" s="81">
        <f>+'[2]LIBRO AÑO 2022'!Q19</f>
        <v>0</v>
      </c>
      <c r="F72" s="81"/>
      <c r="G72" s="80">
        <f>+antecedentes!D13</f>
        <v>1404400</v>
      </c>
      <c r="H72" s="81"/>
      <c r="I72" s="115">
        <v>1.012</v>
      </c>
      <c r="J72" s="81">
        <f t="shared" si="10"/>
        <v>0</v>
      </c>
      <c r="K72" s="81">
        <f t="shared" si="11"/>
        <v>0</v>
      </c>
      <c r="L72" s="81">
        <f t="shared" si="12"/>
        <v>0</v>
      </c>
      <c r="M72" s="81">
        <f t="shared" si="13"/>
        <v>1421252.8</v>
      </c>
      <c r="N72" s="81">
        <f t="shared" si="14"/>
        <v>0</v>
      </c>
      <c r="P72" s="82">
        <f t="shared" si="16"/>
        <v>0</v>
      </c>
      <c r="Q72" s="82">
        <f t="shared" si="17"/>
        <v>0</v>
      </c>
      <c r="R72" s="189">
        <f>0.9%+1.47%+2.4%+0.03%</f>
        <v>4.8000000000000001E-2</v>
      </c>
    </row>
    <row r="73" spans="1:18" ht="15.75" x14ac:dyDescent="0.25">
      <c r="A73" s="103" t="s">
        <v>46</v>
      </c>
      <c r="B73" s="104"/>
      <c r="C73" s="105"/>
      <c r="D73" s="104"/>
      <c r="E73" s="81">
        <f>+'[2]LIBRO AÑO 2022'!Q20</f>
        <v>0</v>
      </c>
      <c r="F73" s="81"/>
      <c r="G73" s="80">
        <f>+'[2]LIBRO AÑO 2022'!O25 +'[2]LIBRO AÑO 2022'!P25</f>
        <v>0</v>
      </c>
      <c r="H73" s="81"/>
      <c r="I73" s="115">
        <v>1.0069999999999999</v>
      </c>
      <c r="J73" s="81">
        <f t="shared" si="10"/>
        <v>0</v>
      </c>
      <c r="K73" s="81">
        <f t="shared" si="11"/>
        <v>0</v>
      </c>
      <c r="L73" s="81">
        <f t="shared" si="12"/>
        <v>0</v>
      </c>
      <c r="M73" s="81">
        <f t="shared" si="13"/>
        <v>0</v>
      </c>
      <c r="N73" s="81">
        <f t="shared" si="14"/>
        <v>0</v>
      </c>
      <c r="P73" s="82">
        <f t="shared" si="16"/>
        <v>0</v>
      </c>
      <c r="Q73" s="82">
        <f t="shared" si="17"/>
        <v>0</v>
      </c>
      <c r="R73" s="189">
        <f>+R72</f>
        <v>4.8000000000000001E-2</v>
      </c>
    </row>
    <row r="74" spans="1:18" ht="15.75" x14ac:dyDescent="0.25">
      <c r="A74" s="103" t="s">
        <v>47</v>
      </c>
      <c r="B74" s="104"/>
      <c r="C74" s="105"/>
      <c r="D74" s="104"/>
      <c r="E74" s="81">
        <f>+'[2]LIBRO AÑO 2022'!Q21</f>
        <v>0</v>
      </c>
      <c r="F74" s="81"/>
      <c r="G74" s="80">
        <f>+'[2]LIBRO AÑO 2022'!O26 +'[2]LIBRO AÑO 2022'!P26</f>
        <v>0</v>
      </c>
      <c r="H74" s="81"/>
      <c r="I74" s="115">
        <v>1</v>
      </c>
      <c r="J74" s="81">
        <f t="shared" si="10"/>
        <v>0</v>
      </c>
      <c r="K74" s="81">
        <f t="shared" si="11"/>
        <v>0</v>
      </c>
      <c r="L74" s="81">
        <f t="shared" si="12"/>
        <v>0</v>
      </c>
      <c r="M74" s="81">
        <f t="shared" si="13"/>
        <v>0</v>
      </c>
      <c r="N74" s="81">
        <f t="shared" si="14"/>
        <v>0</v>
      </c>
      <c r="P74" s="82">
        <f t="shared" si="16"/>
        <v>0</v>
      </c>
      <c r="Q74" s="82">
        <f t="shared" si="17"/>
        <v>0</v>
      </c>
      <c r="R74" s="189">
        <f>+R73</f>
        <v>4.8000000000000001E-2</v>
      </c>
    </row>
    <row r="75" spans="1:18" x14ac:dyDescent="0.2">
      <c r="A75" s="106"/>
      <c r="B75" s="107"/>
      <c r="C75" s="107"/>
      <c r="D75" s="107"/>
      <c r="E75" s="107"/>
      <c r="F75" s="108"/>
      <c r="G75" s="107"/>
      <c r="H75" s="107"/>
      <c r="I75" s="109"/>
      <c r="J75" s="107"/>
      <c r="K75" s="107"/>
      <c r="L75" s="107"/>
      <c r="M75" s="107"/>
      <c r="N75" s="110"/>
      <c r="P75" s="82">
        <f t="shared" si="16"/>
        <v>0</v>
      </c>
      <c r="Q75" s="82">
        <f>+C75*J75</f>
        <v>0</v>
      </c>
    </row>
    <row r="76" spans="1:18" ht="15.75" x14ac:dyDescent="0.25">
      <c r="A76" s="86" t="s">
        <v>142</v>
      </c>
      <c r="B76" s="87">
        <f>SUM(B63:B74)</f>
        <v>5110949</v>
      </c>
      <c r="C76" s="87">
        <f t="shared" ref="C76:N76" si="19">SUM(C63:C74)</f>
        <v>942968</v>
      </c>
      <c r="D76" s="87">
        <f t="shared" si="19"/>
        <v>4167981</v>
      </c>
      <c r="E76" s="87">
        <f t="shared" si="19"/>
        <v>0</v>
      </c>
      <c r="F76" s="87">
        <f t="shared" si="19"/>
        <v>0</v>
      </c>
      <c r="G76" s="87">
        <f t="shared" si="19"/>
        <v>1488523</v>
      </c>
      <c r="H76" s="87">
        <f t="shared" si="19"/>
        <v>0</v>
      </c>
      <c r="I76" s="87">
        <f t="shared" si="19"/>
        <v>12.270999999999999</v>
      </c>
      <c r="J76" s="87">
        <f t="shared" si="19"/>
        <v>4282588.902999999</v>
      </c>
      <c r="K76" s="87">
        <f t="shared" si="19"/>
        <v>0</v>
      </c>
      <c r="L76" s="87">
        <f t="shared" si="19"/>
        <v>0</v>
      </c>
      <c r="M76" s="87">
        <f t="shared" si="19"/>
        <v>1507697.7280000001</v>
      </c>
      <c r="N76" s="87">
        <f t="shared" si="19"/>
        <v>0</v>
      </c>
      <c r="P76" s="88">
        <f>SUM(P63:P74)</f>
        <v>5251485.9049999993</v>
      </c>
      <c r="Q76" s="88">
        <f>SUM(Q63:Q74)</f>
        <v>256410.3928</v>
      </c>
    </row>
    <row r="77" spans="1:18" ht="15.75" x14ac:dyDescent="0.25">
      <c r="A77" s="66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</row>
    <row r="78" spans="1:18" x14ac:dyDescent="0.2">
      <c r="A78" s="91" t="s">
        <v>143</v>
      </c>
      <c r="B78" s="52"/>
      <c r="C78" s="52"/>
      <c r="D78" s="52"/>
      <c r="E78" s="52"/>
      <c r="F78" s="52"/>
      <c r="G78" s="92" t="s">
        <v>144</v>
      </c>
      <c r="H78" s="52"/>
      <c r="I78" s="52"/>
      <c r="J78" s="52"/>
      <c r="K78" s="52"/>
      <c r="L78" s="52"/>
      <c r="M78" s="52"/>
      <c r="N78" s="53"/>
      <c r="P78" s="111">
        <f>+P76+P34</f>
        <v>23841498.527000003</v>
      </c>
    </row>
    <row r="79" spans="1:18" x14ac:dyDescent="0.2">
      <c r="A79" s="57" t="s">
        <v>145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3"/>
    </row>
    <row r="80" spans="1:18" x14ac:dyDescent="0.2">
      <c r="A80" s="57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3"/>
    </row>
    <row r="81" spans="1:14" ht="15.75" x14ac:dyDescent="0.25">
      <c r="A81" s="57"/>
      <c r="B81" s="52"/>
      <c r="C81" s="52"/>
      <c r="D81" s="52"/>
      <c r="E81" s="52"/>
      <c r="F81" s="52"/>
      <c r="G81" s="52"/>
      <c r="H81" s="52"/>
      <c r="I81" s="52"/>
      <c r="J81" s="60"/>
      <c r="K81" s="51"/>
      <c r="L81" s="51" t="str">
        <f>+L39</f>
        <v xml:space="preserve">JUAN ROJAS </v>
      </c>
      <c r="M81" s="51"/>
      <c r="N81" s="53"/>
    </row>
    <row r="82" spans="1:14" ht="15.75" x14ac:dyDescent="0.25">
      <c r="A82" s="57"/>
      <c r="B82" s="52"/>
      <c r="C82" s="52"/>
      <c r="D82" s="52"/>
      <c r="E82" s="52"/>
      <c r="F82" s="52"/>
      <c r="G82" s="52"/>
      <c r="H82" s="52"/>
      <c r="I82" s="52"/>
      <c r="J82" s="60"/>
      <c r="K82" s="51"/>
      <c r="L82" s="51" t="s">
        <v>146</v>
      </c>
      <c r="M82" s="51"/>
      <c r="N82" s="53"/>
    </row>
    <row r="83" spans="1:14" ht="15.75" x14ac:dyDescent="0.25">
      <c r="A83" s="57"/>
      <c r="B83" s="52"/>
      <c r="C83" s="52"/>
      <c r="D83" s="52"/>
      <c r="E83" s="52"/>
      <c r="F83" s="52"/>
      <c r="G83" s="52"/>
      <c r="H83" s="52"/>
      <c r="I83" s="52"/>
      <c r="J83" s="60"/>
      <c r="K83" s="95"/>
      <c r="L83" s="51" t="str">
        <f>+L41</f>
        <v>8.888.888-8</v>
      </c>
      <c r="M83" s="95"/>
      <c r="N83" s="53"/>
    </row>
    <row r="84" spans="1:14" ht="15.75" thickBot="1" x14ac:dyDescent="0.25">
      <c r="A84" s="96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8"/>
    </row>
    <row r="85" spans="1:14" x14ac:dyDescent="0.2">
      <c r="A85" s="99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ht="15.75" x14ac:dyDescent="0.25">
      <c r="A86" s="50" t="s">
        <v>110</v>
      </c>
      <c r="B86" s="51"/>
      <c r="C86" s="51" t="str">
        <f>+C44</f>
        <v>HERMANOS ROJAS LTDA</v>
      </c>
      <c r="D86" s="51"/>
      <c r="E86" s="51"/>
      <c r="F86" s="51"/>
      <c r="G86" s="51"/>
      <c r="H86" s="52"/>
      <c r="I86" s="52"/>
      <c r="J86" s="52"/>
      <c r="K86" s="52"/>
      <c r="L86" s="52"/>
      <c r="M86" s="52"/>
      <c r="N86" s="53"/>
    </row>
    <row r="87" spans="1:14" ht="15.75" x14ac:dyDescent="0.25">
      <c r="A87" s="50" t="s">
        <v>111</v>
      </c>
      <c r="B87" s="51"/>
      <c r="C87" s="51" t="str">
        <f>+C45</f>
        <v>76.999-666-9</v>
      </c>
      <c r="D87" s="51"/>
      <c r="E87" s="51"/>
      <c r="F87" s="51"/>
      <c r="G87" s="51"/>
      <c r="H87" s="52"/>
      <c r="I87" s="52"/>
      <c r="J87" s="52"/>
      <c r="K87" s="52"/>
      <c r="L87" s="52"/>
      <c r="M87" s="52"/>
      <c r="N87" s="53"/>
    </row>
    <row r="88" spans="1:14" ht="15.75" x14ac:dyDescent="0.25">
      <c r="A88" s="50" t="s">
        <v>112</v>
      </c>
      <c r="B88" s="51"/>
      <c r="C88" s="51" t="str">
        <f>+C46</f>
        <v xml:space="preserve">LOS LAGOS 444 , VALDIVIA, </v>
      </c>
      <c r="D88" s="51"/>
      <c r="E88" s="51"/>
      <c r="F88" s="51"/>
      <c r="G88" s="51"/>
      <c r="H88" s="52"/>
      <c r="I88" s="52"/>
      <c r="J88" s="52"/>
      <c r="K88" s="52"/>
      <c r="L88" s="52"/>
      <c r="M88" s="52"/>
      <c r="N88" s="53"/>
    </row>
    <row r="89" spans="1:14" ht="15.75" x14ac:dyDescent="0.25">
      <c r="A89" s="50" t="s">
        <v>113</v>
      </c>
      <c r="B89" s="51"/>
      <c r="C89" s="51" t="str">
        <f>+C47</f>
        <v>RESIDENCIAL</v>
      </c>
      <c r="D89" s="51"/>
      <c r="E89" s="51"/>
      <c r="F89" s="51"/>
      <c r="G89" s="51"/>
      <c r="H89" s="52"/>
      <c r="I89" s="52"/>
      <c r="J89" s="52"/>
      <c r="K89" s="52"/>
      <c r="L89" s="52"/>
      <c r="M89" s="52"/>
      <c r="N89" s="53"/>
    </row>
    <row r="90" spans="1:14" ht="15.75" x14ac:dyDescent="0.25">
      <c r="A90" s="57"/>
      <c r="B90" s="52"/>
      <c r="C90" s="52"/>
      <c r="D90" s="52"/>
      <c r="E90" s="52"/>
      <c r="F90" s="52"/>
      <c r="G90" s="52"/>
      <c r="H90" s="52"/>
      <c r="I90" s="52"/>
      <c r="J90" s="52"/>
      <c r="K90" s="58" t="s">
        <v>114</v>
      </c>
      <c r="L90" s="59" t="s">
        <v>11</v>
      </c>
      <c r="M90" s="60">
        <f>+M48+1</f>
        <v>3</v>
      </c>
      <c r="N90" s="53"/>
    </row>
    <row r="91" spans="1:14" ht="15.75" x14ac:dyDescent="0.25">
      <c r="A91" s="57"/>
      <c r="B91" s="52"/>
      <c r="C91" s="52"/>
      <c r="D91" s="52"/>
      <c r="E91" s="52"/>
      <c r="F91" s="52"/>
      <c r="G91" s="52"/>
      <c r="H91" s="52"/>
      <c r="I91" s="52"/>
      <c r="J91" s="52"/>
      <c r="K91" s="51" t="str">
        <f>+K49</f>
        <v xml:space="preserve">Olmué </v>
      </c>
      <c r="L91" s="51" t="str">
        <f>+L7</f>
        <v>23 DE MARZO 2024</v>
      </c>
      <c r="M91" s="52"/>
      <c r="N91" s="53"/>
    </row>
    <row r="92" spans="1:14" x14ac:dyDescent="0.2">
      <c r="A92" s="57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3"/>
    </row>
    <row r="93" spans="1:14" x14ac:dyDescent="0.2">
      <c r="A93" s="57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2">
      <c r="A94" s="57"/>
      <c r="B94" s="52"/>
      <c r="C94" s="62" t="s">
        <v>116</v>
      </c>
      <c r="D94" s="63"/>
      <c r="E94" s="63"/>
      <c r="F94" s="63"/>
      <c r="G94" s="63"/>
      <c r="H94" s="63"/>
      <c r="I94" s="63"/>
      <c r="J94" s="52"/>
      <c r="K94" s="52"/>
      <c r="L94" s="52"/>
      <c r="M94" s="52"/>
      <c r="N94" s="53"/>
    </row>
    <row r="95" spans="1:14" x14ac:dyDescent="0.2">
      <c r="A95" s="57"/>
      <c r="B95" s="52"/>
      <c r="C95" s="64"/>
      <c r="D95" s="64"/>
      <c r="E95" s="52"/>
      <c r="F95" s="52"/>
      <c r="G95" s="52"/>
      <c r="H95" s="52"/>
      <c r="I95" s="52"/>
      <c r="J95" s="52"/>
      <c r="K95" s="52"/>
      <c r="L95" s="52"/>
      <c r="M95" s="52"/>
      <c r="N95" s="53"/>
    </row>
    <row r="96" spans="1:14" x14ac:dyDescent="0.2">
      <c r="A96" s="57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3"/>
    </row>
    <row r="97" spans="1:18" x14ac:dyDescent="0.2">
      <c r="A97" s="57" t="s">
        <v>117</v>
      </c>
      <c r="B97" s="52" t="str">
        <f>+C86</f>
        <v>HERMANOS ROJAS LTDA</v>
      </c>
      <c r="C97" s="52"/>
      <c r="D97" s="52"/>
      <c r="E97" s="52" t="s">
        <v>118</v>
      </c>
      <c r="F97" s="52"/>
      <c r="G97" s="52"/>
      <c r="H97" s="52" t="str">
        <f>+'LIBRO REMUNERACIONES'!F8</f>
        <v>JORGE PABLO MARCHANT SOLARI</v>
      </c>
      <c r="I97" s="52"/>
      <c r="J97" s="52"/>
      <c r="K97" s="52"/>
      <c r="L97" s="52"/>
      <c r="M97" s="52"/>
      <c r="N97" s="53"/>
    </row>
    <row r="98" spans="1:18" x14ac:dyDescent="0.2">
      <c r="A98" s="57" t="s">
        <v>119</v>
      </c>
      <c r="B98" s="65" t="str">
        <f>+'LIBRO REMUNERACIONES'!C8</f>
        <v>18.510.112-4</v>
      </c>
      <c r="C98" s="52" t="str">
        <f>+C14</f>
        <v xml:space="preserve">             en su calidad de empleado dependiente, durante el año  2023, se le han pagado las rentas que se indican y sobre las cuales se le practicaron las retenciones 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3"/>
    </row>
    <row r="99" spans="1:18" x14ac:dyDescent="0.2">
      <c r="A99" s="57" t="s">
        <v>120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3"/>
    </row>
    <row r="100" spans="1:18" ht="15.75" x14ac:dyDescent="0.25">
      <c r="A100" s="66"/>
      <c r="B100" s="51"/>
      <c r="C100" s="51"/>
      <c r="D100" s="51"/>
      <c r="E100" s="51"/>
      <c r="F100" s="51"/>
      <c r="G100" s="51"/>
      <c r="H100" s="51"/>
      <c r="I100" s="51"/>
      <c r="J100" s="118" t="s">
        <v>121</v>
      </c>
      <c r="K100" s="118"/>
      <c r="L100" s="118"/>
      <c r="M100" s="118"/>
      <c r="N100" s="118"/>
    </row>
    <row r="101" spans="1:18" ht="15.75" x14ac:dyDescent="0.25">
      <c r="A101" s="67" t="s">
        <v>122</v>
      </c>
      <c r="B101" s="68" t="s">
        <v>71</v>
      </c>
      <c r="C101" s="69" t="s">
        <v>123</v>
      </c>
      <c r="D101" s="68" t="s">
        <v>124</v>
      </c>
      <c r="E101" s="68" t="s">
        <v>125</v>
      </c>
      <c r="F101" s="69" t="s">
        <v>125</v>
      </c>
      <c r="G101" s="68" t="s">
        <v>124</v>
      </c>
      <c r="H101" s="68" t="s">
        <v>124</v>
      </c>
      <c r="I101" s="69" t="s">
        <v>126</v>
      </c>
      <c r="J101" s="68" t="s">
        <v>124</v>
      </c>
      <c r="K101" s="68" t="s">
        <v>127</v>
      </c>
      <c r="L101" s="68" t="s">
        <v>128</v>
      </c>
      <c r="M101" s="68" t="s">
        <v>124</v>
      </c>
      <c r="N101" s="70" t="s">
        <v>124</v>
      </c>
      <c r="P101" s="68" t="s">
        <v>71</v>
      </c>
      <c r="Q101" s="68" t="s">
        <v>181</v>
      </c>
      <c r="R101" s="68"/>
    </row>
    <row r="102" spans="1:18" ht="15.75" x14ac:dyDescent="0.25">
      <c r="A102" s="66"/>
      <c r="B102" s="71" t="s">
        <v>129</v>
      </c>
      <c r="C102" s="59" t="s">
        <v>130</v>
      </c>
      <c r="D102" s="71" t="s">
        <v>131</v>
      </c>
      <c r="E102" s="71" t="s">
        <v>103</v>
      </c>
      <c r="F102" s="59" t="s">
        <v>103</v>
      </c>
      <c r="G102" s="71" t="s">
        <v>132</v>
      </c>
      <c r="H102" s="71" t="s">
        <v>133</v>
      </c>
      <c r="I102" s="59" t="s">
        <v>134</v>
      </c>
      <c r="J102" s="71" t="s">
        <v>131</v>
      </c>
      <c r="K102" s="71" t="s">
        <v>103</v>
      </c>
      <c r="L102" s="71" t="s">
        <v>103</v>
      </c>
      <c r="M102" s="71" t="s">
        <v>132</v>
      </c>
      <c r="N102" s="72" t="s">
        <v>133</v>
      </c>
      <c r="P102" s="71" t="s">
        <v>129</v>
      </c>
      <c r="Q102" s="71" t="s">
        <v>182</v>
      </c>
      <c r="R102" s="71"/>
    </row>
    <row r="103" spans="1:18" ht="15.75" x14ac:dyDescent="0.25">
      <c r="A103" s="66"/>
      <c r="B103" s="71"/>
      <c r="C103" s="59"/>
      <c r="D103" s="71"/>
      <c r="E103" s="71" t="s">
        <v>135</v>
      </c>
      <c r="F103" s="59" t="s">
        <v>136</v>
      </c>
      <c r="G103" s="71" t="s">
        <v>137</v>
      </c>
      <c r="H103" s="71" t="s">
        <v>138</v>
      </c>
      <c r="I103" s="59"/>
      <c r="J103" s="71"/>
      <c r="K103" s="71" t="s">
        <v>135</v>
      </c>
      <c r="L103" s="71" t="s">
        <v>136</v>
      </c>
      <c r="M103" s="71" t="s">
        <v>137</v>
      </c>
      <c r="N103" s="72" t="s">
        <v>138</v>
      </c>
      <c r="P103" s="71" t="s">
        <v>139</v>
      </c>
      <c r="Q103" s="71" t="s">
        <v>183</v>
      </c>
      <c r="R103" s="71" t="s">
        <v>189</v>
      </c>
    </row>
    <row r="104" spans="1:18" ht="15.75" x14ac:dyDescent="0.25">
      <c r="A104" s="73"/>
      <c r="B104" s="74"/>
      <c r="C104" s="75"/>
      <c r="D104" s="74"/>
      <c r="E104" s="76"/>
      <c r="F104" s="77"/>
      <c r="G104" s="76" t="s">
        <v>140</v>
      </c>
      <c r="H104" s="76" t="s">
        <v>141</v>
      </c>
      <c r="I104" s="77"/>
      <c r="J104" s="76"/>
      <c r="K104" s="76"/>
      <c r="L104" s="76"/>
      <c r="M104" s="76" t="s">
        <v>140</v>
      </c>
      <c r="N104" s="78" t="s">
        <v>141</v>
      </c>
      <c r="P104" s="74"/>
      <c r="Q104" s="74" t="s">
        <v>184</v>
      </c>
      <c r="R104" s="74"/>
    </row>
    <row r="105" spans="1:18" ht="15.75" x14ac:dyDescent="0.25">
      <c r="A105" s="79" t="s">
        <v>36</v>
      </c>
      <c r="B105" s="82">
        <f>+'[2]LIBRO AÑO 2022'!L27</f>
        <v>632814</v>
      </c>
      <c r="C105" s="105">
        <f>+'[2]LIBRO AÑO 2022'!S27+'[2]LIBRO AÑO 2022'!T27+'[2]LIBRO AÑO 2022'!U27</f>
        <v>115046</v>
      </c>
      <c r="D105" s="82">
        <f>B105-C105</f>
        <v>517768</v>
      </c>
      <c r="E105" s="82"/>
      <c r="F105" s="82"/>
      <c r="G105" s="82"/>
      <c r="H105" s="82"/>
      <c r="I105" s="115">
        <v>1.0449999999999999</v>
      </c>
      <c r="J105" s="82">
        <f>+D105*I105</f>
        <v>541067.55999999994</v>
      </c>
      <c r="K105" s="82">
        <f t="shared" ref="K105:K116" si="20">+E105*I105</f>
        <v>0</v>
      </c>
      <c r="L105" s="82">
        <f t="shared" ref="L105:L116" si="21">+F105*I105</f>
        <v>0</v>
      </c>
      <c r="M105" s="82">
        <f t="shared" ref="M105:M116" si="22">+G105*I105</f>
        <v>0</v>
      </c>
      <c r="N105" s="83">
        <f t="shared" ref="N105:N116" si="23">+H105*I105</f>
        <v>0</v>
      </c>
      <c r="P105" s="82">
        <f>+B105*I105</f>
        <v>661290.63</v>
      </c>
      <c r="Q105" s="82">
        <f>+B105*R105</f>
        <v>30691.478999999999</v>
      </c>
      <c r="R105" s="189">
        <f>0.9%+1.55%+2.4%</f>
        <v>4.8500000000000001E-2</v>
      </c>
    </row>
    <row r="106" spans="1:18" ht="15.75" x14ac:dyDescent="0.25">
      <c r="A106" s="79" t="s">
        <v>37</v>
      </c>
      <c r="B106" s="82">
        <f>+'[2]LIBRO AÑO 2022'!L28</f>
        <v>598689</v>
      </c>
      <c r="C106" s="105">
        <f>+'[2]LIBRO AÑO 2022'!S28+'[2]LIBRO AÑO 2022'!T28+'[2]LIBRO AÑO 2022'!U28</f>
        <v>115046</v>
      </c>
      <c r="D106" s="82">
        <f t="shared" ref="D106:D116" si="24">B106-C106</f>
        <v>483643</v>
      </c>
      <c r="E106" s="82"/>
      <c r="F106" s="82"/>
      <c r="G106" s="82"/>
      <c r="H106" s="82"/>
      <c r="I106" s="115">
        <v>1.0369999999999999</v>
      </c>
      <c r="J106" s="82">
        <f t="shared" ref="J106:J116" si="25">+D106*I106</f>
        <v>501537.79099999997</v>
      </c>
      <c r="K106" s="82">
        <f t="shared" si="20"/>
        <v>0</v>
      </c>
      <c r="L106" s="82">
        <f t="shared" si="21"/>
        <v>0</v>
      </c>
      <c r="M106" s="82">
        <f t="shared" si="22"/>
        <v>0</v>
      </c>
      <c r="N106" s="83">
        <f t="shared" si="23"/>
        <v>0</v>
      </c>
      <c r="P106" s="82">
        <f t="shared" ref="P106:P117" si="26">+B106*I106</f>
        <v>620840.4929999999</v>
      </c>
      <c r="Q106" s="82">
        <f t="shared" ref="Q106:Q116" si="27">+B106*R106</f>
        <v>29036.416499999999</v>
      </c>
      <c r="R106" s="189">
        <f t="shared" ref="R106:R116" si="28">0.9%+1.55%+2.4%</f>
        <v>4.8500000000000001E-2</v>
      </c>
    </row>
    <row r="107" spans="1:18" ht="15.75" x14ac:dyDescent="0.25">
      <c r="A107" s="79" t="s">
        <v>38</v>
      </c>
      <c r="B107" s="82">
        <f>+'[2]LIBRO AÑO 2022'!L29</f>
        <v>598689</v>
      </c>
      <c r="C107" s="105">
        <f>+'[2]LIBRO AÑO 2022'!S29+'[2]LIBRO AÑO 2022'!T29+'[2]LIBRO AÑO 2022'!U29</f>
        <v>108841</v>
      </c>
      <c r="D107" s="82">
        <f t="shared" si="24"/>
        <v>489848</v>
      </c>
      <c r="E107" s="82"/>
      <c r="F107" s="82"/>
      <c r="G107" s="82"/>
      <c r="H107" s="82"/>
      <c r="I107" s="115">
        <f>+I106</f>
        <v>1.0369999999999999</v>
      </c>
      <c r="J107" s="82">
        <f t="shared" si="25"/>
        <v>507972.37599999999</v>
      </c>
      <c r="K107" s="82">
        <f t="shared" si="20"/>
        <v>0</v>
      </c>
      <c r="L107" s="82">
        <f t="shared" si="21"/>
        <v>0</v>
      </c>
      <c r="M107" s="82">
        <f t="shared" si="22"/>
        <v>0</v>
      </c>
      <c r="N107" s="83">
        <f t="shared" si="23"/>
        <v>0</v>
      </c>
      <c r="P107" s="82">
        <f t="shared" si="26"/>
        <v>620840.4929999999</v>
      </c>
      <c r="Q107" s="82">
        <f t="shared" si="27"/>
        <v>29036.416499999999</v>
      </c>
      <c r="R107" s="189">
        <f t="shared" si="28"/>
        <v>4.8500000000000001E-2</v>
      </c>
    </row>
    <row r="108" spans="1:18" ht="15.75" x14ac:dyDescent="0.25">
      <c r="A108" s="79" t="s">
        <v>39</v>
      </c>
      <c r="B108" s="82"/>
      <c r="C108" s="105"/>
      <c r="D108" s="82"/>
      <c r="E108" s="82"/>
      <c r="F108" s="82"/>
      <c r="G108" s="82"/>
      <c r="H108" s="82"/>
      <c r="I108" s="115">
        <v>1.026</v>
      </c>
      <c r="J108" s="82">
        <f t="shared" si="25"/>
        <v>0</v>
      </c>
      <c r="K108" s="82">
        <f t="shared" si="20"/>
        <v>0</v>
      </c>
      <c r="L108" s="82">
        <f t="shared" si="21"/>
        <v>0</v>
      </c>
      <c r="M108" s="82">
        <f t="shared" si="22"/>
        <v>0</v>
      </c>
      <c r="N108" s="83">
        <f t="shared" si="23"/>
        <v>0</v>
      </c>
      <c r="P108" s="82">
        <f t="shared" si="26"/>
        <v>0</v>
      </c>
      <c r="Q108" s="82">
        <f t="shared" si="27"/>
        <v>0</v>
      </c>
      <c r="R108" s="189">
        <f>0.9%+1.61%+2.4%</f>
        <v>4.9100000000000005E-2</v>
      </c>
    </row>
    <row r="109" spans="1:18" ht="15.75" x14ac:dyDescent="0.25">
      <c r="A109" s="79" t="s">
        <v>40</v>
      </c>
      <c r="B109" s="82">
        <f>+'[2]LIBRO AÑO 2022'!L31</f>
        <v>673783</v>
      </c>
      <c r="C109" s="105">
        <f>+'[2]LIBRO AÑO 2022'!S31+'[2]LIBRO AÑO 2022'!T31+'[2]LIBRO AÑO 2022'!U31</f>
        <v>122494</v>
      </c>
      <c r="D109" s="82">
        <f t="shared" si="24"/>
        <v>551289</v>
      </c>
      <c r="E109" s="82"/>
      <c r="F109" s="82"/>
      <c r="G109" s="82"/>
      <c r="H109" s="82"/>
      <c r="I109" s="115">
        <v>1.0229999999999999</v>
      </c>
      <c r="J109" s="82">
        <f t="shared" si="25"/>
        <v>563968.647</v>
      </c>
      <c r="K109" s="82">
        <f t="shared" si="20"/>
        <v>0</v>
      </c>
      <c r="L109" s="82">
        <f t="shared" si="21"/>
        <v>0</v>
      </c>
      <c r="M109" s="82">
        <f t="shared" si="22"/>
        <v>0</v>
      </c>
      <c r="N109" s="83">
        <f t="shared" si="23"/>
        <v>0</v>
      </c>
      <c r="P109" s="82">
        <f t="shared" si="26"/>
        <v>689280.00899999996</v>
      </c>
      <c r="Q109" s="82">
        <f t="shared" si="27"/>
        <v>33082.745300000002</v>
      </c>
      <c r="R109" s="189">
        <f>+R108</f>
        <v>4.9100000000000005E-2</v>
      </c>
    </row>
    <row r="110" spans="1:18" ht="15.75" x14ac:dyDescent="0.25">
      <c r="A110" s="79" t="s">
        <v>41</v>
      </c>
      <c r="B110" s="82">
        <f>+'[2]LIBRO AÑO 2022'!L32</f>
        <v>673783</v>
      </c>
      <c r="C110" s="105">
        <f>+'[2]LIBRO AÑO 2022'!S32+'[2]LIBRO AÑO 2022'!T32+'[2]LIBRO AÑO 2022'!U32</f>
        <v>122494</v>
      </c>
      <c r="D110" s="82">
        <f t="shared" si="24"/>
        <v>551289</v>
      </c>
      <c r="E110" s="82"/>
      <c r="F110" s="82"/>
      <c r="G110" s="82"/>
      <c r="H110" s="82"/>
      <c r="I110" s="115">
        <v>1.022</v>
      </c>
      <c r="J110" s="82">
        <f t="shared" si="25"/>
        <v>563417.35800000001</v>
      </c>
      <c r="K110" s="82">
        <f t="shared" si="20"/>
        <v>0</v>
      </c>
      <c r="L110" s="82">
        <f t="shared" si="21"/>
        <v>0</v>
      </c>
      <c r="M110" s="82">
        <f t="shared" si="22"/>
        <v>0</v>
      </c>
      <c r="N110" s="83">
        <f t="shared" si="23"/>
        <v>0</v>
      </c>
      <c r="P110" s="82">
        <f t="shared" si="26"/>
        <v>688606.22600000002</v>
      </c>
      <c r="Q110" s="82">
        <f t="shared" si="27"/>
        <v>33082.745300000002</v>
      </c>
      <c r="R110" s="189">
        <f>+R109</f>
        <v>4.9100000000000005E-2</v>
      </c>
    </row>
    <row r="111" spans="1:18" ht="15.75" x14ac:dyDescent="0.25">
      <c r="A111" s="79" t="s">
        <v>42</v>
      </c>
      <c r="B111" s="82">
        <f>+'[2]LIBRO AÑO 2022'!L33</f>
        <v>632814</v>
      </c>
      <c r="C111" s="105">
        <f>+'[2]LIBRO AÑO 2022'!S33+'[2]LIBRO AÑO 2022'!T33+'[2]LIBRO AÑO 2022'!U33</f>
        <v>115046</v>
      </c>
      <c r="D111" s="82">
        <f t="shared" si="24"/>
        <v>517768</v>
      </c>
      <c r="E111" s="82"/>
      <c r="F111" s="82"/>
      <c r="G111" s="82"/>
      <c r="H111" s="82"/>
      <c r="I111" s="115">
        <f>+I109</f>
        <v>1.0229999999999999</v>
      </c>
      <c r="J111" s="82">
        <f t="shared" si="25"/>
        <v>529676.66399999999</v>
      </c>
      <c r="K111" s="82">
        <f t="shared" si="20"/>
        <v>0</v>
      </c>
      <c r="L111" s="82">
        <f t="shared" si="21"/>
        <v>0</v>
      </c>
      <c r="M111" s="82">
        <f t="shared" si="22"/>
        <v>0</v>
      </c>
      <c r="N111" s="83">
        <f t="shared" si="23"/>
        <v>0</v>
      </c>
      <c r="P111" s="82">
        <f t="shared" si="26"/>
        <v>647368.72199999995</v>
      </c>
      <c r="Q111" s="82">
        <f t="shared" si="27"/>
        <v>32779.765200000002</v>
      </c>
      <c r="R111" s="189">
        <f>0.9%+1.88%+2.4%</f>
        <v>5.1799999999999999E-2</v>
      </c>
    </row>
    <row r="112" spans="1:18" ht="15.75" x14ac:dyDescent="0.25">
      <c r="A112" s="79" t="s">
        <v>43</v>
      </c>
      <c r="B112" s="82">
        <f>+'[2]LIBRO AÑO 2022'!L34</f>
        <v>591845</v>
      </c>
      <c r="C112" s="105">
        <f>+'[2]LIBRO AÑO 2022'!S34+'[2]LIBRO AÑO 2022'!T34+'[2]LIBRO AÑO 2022'!U34</f>
        <v>107597</v>
      </c>
      <c r="D112" s="82">
        <f t="shared" si="24"/>
        <v>484248</v>
      </c>
      <c r="E112" s="82"/>
      <c r="F112" s="82"/>
      <c r="G112" s="82"/>
      <c r="H112" s="82"/>
      <c r="I112" s="115">
        <v>1.02</v>
      </c>
      <c r="J112" s="82">
        <f t="shared" si="25"/>
        <v>493932.96</v>
      </c>
      <c r="K112" s="82">
        <f t="shared" si="20"/>
        <v>0</v>
      </c>
      <c r="L112" s="82">
        <f t="shared" si="21"/>
        <v>0</v>
      </c>
      <c r="M112" s="82">
        <f t="shared" si="22"/>
        <v>0</v>
      </c>
      <c r="N112" s="83">
        <f t="shared" si="23"/>
        <v>0</v>
      </c>
      <c r="P112" s="82">
        <f t="shared" si="26"/>
        <v>603681.9</v>
      </c>
      <c r="Q112" s="82">
        <f t="shared" si="27"/>
        <v>30657.571</v>
      </c>
      <c r="R112" s="189">
        <f>+R111</f>
        <v>5.1799999999999999E-2</v>
      </c>
    </row>
    <row r="113" spans="1:18" ht="15.75" x14ac:dyDescent="0.25">
      <c r="A113" s="79" t="s">
        <v>44</v>
      </c>
      <c r="B113" s="82">
        <f>+'[2]LIBRO AÑO 2022'!L35</f>
        <v>770606</v>
      </c>
      <c r="C113" s="105">
        <f>+'[2]LIBRO AÑO 2022'!S35+'[2]LIBRO AÑO 2022'!T35+'[2]LIBRO AÑO 2022'!U35</f>
        <v>140096</v>
      </c>
      <c r="D113" s="82">
        <f t="shared" si="24"/>
        <v>630510</v>
      </c>
      <c r="E113" s="82"/>
      <c r="F113" s="82"/>
      <c r="G113" s="82"/>
      <c r="H113" s="82"/>
      <c r="I113" s="115">
        <v>1.0189999999999999</v>
      </c>
      <c r="J113" s="82">
        <f t="shared" si="25"/>
        <v>642489.68999999994</v>
      </c>
      <c r="K113" s="82">
        <f t="shared" si="20"/>
        <v>0</v>
      </c>
      <c r="L113" s="82">
        <f t="shared" si="21"/>
        <v>0</v>
      </c>
      <c r="M113" s="82">
        <f t="shared" si="22"/>
        <v>0</v>
      </c>
      <c r="N113" s="83">
        <f t="shared" si="23"/>
        <v>0</v>
      </c>
      <c r="P113" s="82">
        <f t="shared" si="26"/>
        <v>785247.51399999997</v>
      </c>
      <c r="Q113" s="82">
        <f t="shared" si="27"/>
        <v>39917.390800000001</v>
      </c>
      <c r="R113" s="189">
        <f>+R112</f>
        <v>5.1799999999999999E-2</v>
      </c>
    </row>
    <row r="114" spans="1:18" ht="15.75" x14ac:dyDescent="0.25">
      <c r="A114" s="79" t="s">
        <v>45</v>
      </c>
      <c r="B114" s="82">
        <f>+'[2]LIBRO AÑO 2022'!L36</f>
        <v>673783</v>
      </c>
      <c r="C114" s="105">
        <f>+'[2]LIBRO AÑO 2022'!S36+'[2]LIBRO AÑO 2022'!T36+'[2]LIBRO AÑO 2022'!U36</f>
        <v>122494</v>
      </c>
      <c r="D114" s="82">
        <f t="shared" si="24"/>
        <v>551289</v>
      </c>
      <c r="E114" s="82"/>
      <c r="F114" s="82"/>
      <c r="G114" s="82"/>
      <c r="H114" s="82"/>
      <c r="I114" s="115">
        <v>1.012</v>
      </c>
      <c r="J114" s="82">
        <f t="shared" si="25"/>
        <v>557904.46799999999</v>
      </c>
      <c r="K114" s="82">
        <f t="shared" si="20"/>
        <v>0</v>
      </c>
      <c r="L114" s="82">
        <f t="shared" si="21"/>
        <v>0</v>
      </c>
      <c r="M114" s="82">
        <f t="shared" si="22"/>
        <v>0</v>
      </c>
      <c r="N114" s="83">
        <f t="shared" si="23"/>
        <v>0</v>
      </c>
      <c r="P114" s="82">
        <f t="shared" si="26"/>
        <v>681868.39599999995</v>
      </c>
      <c r="Q114" s="82">
        <f t="shared" si="27"/>
        <v>32139.449099999998</v>
      </c>
      <c r="R114" s="189">
        <f>0.9%+1.47%+2.4%</f>
        <v>4.7699999999999999E-2</v>
      </c>
    </row>
    <row r="115" spans="1:18" ht="15.75" x14ac:dyDescent="0.25">
      <c r="A115" s="79" t="s">
        <v>46</v>
      </c>
      <c r="B115" s="82">
        <f>+'[2]LIBRO AÑO 2022'!L37</f>
        <v>727465</v>
      </c>
      <c r="C115" s="105">
        <f>+'[2]LIBRO AÑO 2022'!S37+'[2]LIBRO AÑO 2022'!T37+'[2]LIBRO AÑO 2022'!U37</f>
        <v>132254</v>
      </c>
      <c r="D115" s="82">
        <f t="shared" si="24"/>
        <v>595211</v>
      </c>
      <c r="E115" s="82"/>
      <c r="F115" s="112"/>
      <c r="G115" s="82"/>
      <c r="H115" s="82"/>
      <c r="I115" s="115">
        <v>1.0069999999999999</v>
      </c>
      <c r="J115" s="82">
        <f t="shared" si="25"/>
        <v>599377.47699999996</v>
      </c>
      <c r="K115" s="82">
        <f t="shared" si="20"/>
        <v>0</v>
      </c>
      <c r="L115" s="82">
        <f t="shared" si="21"/>
        <v>0</v>
      </c>
      <c r="M115" s="82">
        <f t="shared" si="22"/>
        <v>0</v>
      </c>
      <c r="N115" s="83">
        <f t="shared" si="23"/>
        <v>0</v>
      </c>
      <c r="P115" s="82">
        <f t="shared" si="26"/>
        <v>732557.25499999989</v>
      </c>
      <c r="Q115" s="82">
        <f t="shared" si="27"/>
        <v>34700.080499999996</v>
      </c>
      <c r="R115" s="189">
        <f>+R114</f>
        <v>4.7699999999999999E-2</v>
      </c>
    </row>
    <row r="116" spans="1:18" ht="15.75" x14ac:dyDescent="0.25">
      <c r="A116" s="79" t="s">
        <v>47</v>
      </c>
      <c r="B116" s="82">
        <f>+'[2]LIBRO AÑO 2022'!L38</f>
        <v>832798</v>
      </c>
      <c r="C116" s="105">
        <f>+'[2]LIBRO AÑO 2022'!S38+'[2]LIBRO AÑO 2022'!T38+'[2]LIBRO AÑO 2022'!U38</f>
        <v>151403</v>
      </c>
      <c r="D116" s="82">
        <f t="shared" si="24"/>
        <v>681395</v>
      </c>
      <c r="E116" s="82"/>
      <c r="F116" s="112"/>
      <c r="G116" s="82"/>
      <c r="H116" s="82"/>
      <c r="I116" s="115">
        <v>1</v>
      </c>
      <c r="J116" s="82">
        <f t="shared" si="25"/>
        <v>681395</v>
      </c>
      <c r="K116" s="82">
        <f t="shared" si="20"/>
        <v>0</v>
      </c>
      <c r="L116" s="82">
        <f t="shared" si="21"/>
        <v>0</v>
      </c>
      <c r="M116" s="82">
        <f t="shared" si="22"/>
        <v>0</v>
      </c>
      <c r="N116" s="83">
        <f t="shared" si="23"/>
        <v>0</v>
      </c>
      <c r="P116" s="82">
        <f t="shared" si="26"/>
        <v>832798</v>
      </c>
      <c r="Q116" s="82">
        <f t="shared" si="27"/>
        <v>39724.464599999999</v>
      </c>
      <c r="R116" s="189">
        <f>+R115</f>
        <v>4.7699999999999999E-2</v>
      </c>
    </row>
    <row r="117" spans="1:18" x14ac:dyDescent="0.2">
      <c r="A117" s="79"/>
      <c r="B117" s="82"/>
      <c r="C117" s="82"/>
      <c r="D117" s="82"/>
      <c r="E117" s="82"/>
      <c r="F117" s="112"/>
      <c r="G117" s="82"/>
      <c r="H117" s="82"/>
      <c r="I117" s="85"/>
      <c r="J117" s="82"/>
      <c r="K117" s="82"/>
      <c r="L117" s="82"/>
      <c r="M117" s="82"/>
      <c r="N117" s="83"/>
      <c r="P117" s="82">
        <f t="shared" si="26"/>
        <v>0</v>
      </c>
      <c r="Q117" s="82">
        <f>+C117*J117</f>
        <v>0</v>
      </c>
    </row>
    <row r="118" spans="1:18" ht="15.75" x14ac:dyDescent="0.25">
      <c r="A118" s="86" t="s">
        <v>142</v>
      </c>
      <c r="B118" s="87">
        <f>SUM(B105:B116)</f>
        <v>7407069</v>
      </c>
      <c r="C118" s="87">
        <f t="shared" ref="C118:N118" si="29">SUM(C105:C116)</f>
        <v>1352811</v>
      </c>
      <c r="D118" s="87">
        <f t="shared" si="29"/>
        <v>6054258</v>
      </c>
      <c r="E118" s="87">
        <f t="shared" si="29"/>
        <v>0</v>
      </c>
      <c r="F118" s="87">
        <f t="shared" si="29"/>
        <v>0</v>
      </c>
      <c r="G118" s="87">
        <f t="shared" si="29"/>
        <v>0</v>
      </c>
      <c r="H118" s="87">
        <f t="shared" si="29"/>
        <v>0</v>
      </c>
      <c r="I118" s="87">
        <f t="shared" si="29"/>
        <v>12.270999999999999</v>
      </c>
      <c r="J118" s="87">
        <f t="shared" si="29"/>
        <v>6182739.9910000004</v>
      </c>
      <c r="K118" s="87">
        <f t="shared" si="29"/>
        <v>0</v>
      </c>
      <c r="L118" s="87">
        <f t="shared" si="29"/>
        <v>0</v>
      </c>
      <c r="M118" s="87">
        <f t="shared" si="29"/>
        <v>0</v>
      </c>
      <c r="N118" s="87">
        <f t="shared" si="29"/>
        <v>0</v>
      </c>
      <c r="P118" s="88">
        <f>SUM(P105:P116)</f>
        <v>7564379.6379999993</v>
      </c>
      <c r="Q118" s="88">
        <f>SUM(Q105:Q116)</f>
        <v>364848.52379999997</v>
      </c>
    </row>
    <row r="119" spans="1:18" ht="15.75" x14ac:dyDescent="0.25">
      <c r="A119" s="66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90"/>
    </row>
    <row r="120" spans="1:18" x14ac:dyDescent="0.2">
      <c r="A120" s="91" t="s">
        <v>143</v>
      </c>
      <c r="B120" s="52"/>
      <c r="C120" s="52"/>
      <c r="D120" s="52"/>
      <c r="E120" s="52"/>
      <c r="F120" s="52"/>
      <c r="G120" s="92" t="s">
        <v>144</v>
      </c>
      <c r="H120" s="52"/>
      <c r="I120" s="52"/>
      <c r="J120" s="52"/>
      <c r="K120" s="52"/>
      <c r="L120" s="52"/>
      <c r="M120" s="52"/>
      <c r="N120" s="53"/>
      <c r="P120" s="111">
        <f>+P78+P118</f>
        <v>31405878.165000003</v>
      </c>
    </row>
    <row r="121" spans="1:18" x14ac:dyDescent="0.2">
      <c r="A121" s="57" t="s">
        <v>145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3"/>
    </row>
    <row r="122" spans="1:18" x14ac:dyDescent="0.2">
      <c r="A122" s="57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3"/>
    </row>
    <row r="123" spans="1:18" ht="15.75" x14ac:dyDescent="0.25">
      <c r="A123" s="57"/>
      <c r="B123" s="52"/>
      <c r="C123" s="52"/>
      <c r="D123" s="52"/>
      <c r="E123" s="52"/>
      <c r="F123" s="52"/>
      <c r="G123" s="52"/>
      <c r="H123" s="52"/>
      <c r="I123" s="52"/>
      <c r="J123" s="60"/>
      <c r="K123" s="51"/>
      <c r="L123" s="51" t="str">
        <f>+L81</f>
        <v xml:space="preserve">JUAN ROJAS </v>
      </c>
      <c r="M123" s="51"/>
      <c r="N123" s="53"/>
    </row>
    <row r="124" spans="1:18" ht="15.75" x14ac:dyDescent="0.25">
      <c r="A124" s="57"/>
      <c r="B124" s="52"/>
      <c r="C124" s="52"/>
      <c r="D124" s="52"/>
      <c r="E124" s="52"/>
      <c r="F124" s="52"/>
      <c r="G124" s="52"/>
      <c r="H124" s="52"/>
      <c r="I124" s="52"/>
      <c r="J124" s="60"/>
      <c r="K124" s="51"/>
      <c r="L124" s="51" t="s">
        <v>146</v>
      </c>
      <c r="M124" s="51"/>
      <c r="N124" s="53"/>
    </row>
    <row r="125" spans="1:18" ht="15.75" x14ac:dyDescent="0.25">
      <c r="A125" s="57"/>
      <c r="B125" s="52"/>
      <c r="C125" s="52"/>
      <c r="D125" s="52"/>
      <c r="E125" s="52"/>
      <c r="F125" s="52"/>
      <c r="G125" s="52"/>
      <c r="H125" s="52"/>
      <c r="I125" s="52"/>
      <c r="J125" s="60"/>
      <c r="K125" s="95"/>
      <c r="L125" s="51" t="str">
        <f>+L83</f>
        <v>8.888.888-8</v>
      </c>
      <c r="M125" s="95"/>
      <c r="N125" s="53"/>
    </row>
    <row r="126" spans="1:18" ht="15.75" thickBot="1" x14ac:dyDescent="0.25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8"/>
    </row>
    <row r="127" spans="1:18" x14ac:dyDescent="0.2">
      <c r="A127" s="99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1"/>
    </row>
    <row r="128" spans="1:18" ht="15.75" x14ac:dyDescent="0.25">
      <c r="A128" s="50" t="s">
        <v>110</v>
      </c>
      <c r="B128" s="51"/>
      <c r="C128" s="51" t="str">
        <f>+C86</f>
        <v>HERMANOS ROJAS LTDA</v>
      </c>
      <c r="D128" s="51"/>
      <c r="E128" s="51"/>
      <c r="F128" s="51"/>
      <c r="G128" s="51"/>
      <c r="H128" s="52"/>
      <c r="I128" s="52"/>
      <c r="J128" s="52"/>
      <c r="K128" s="52"/>
      <c r="L128" s="52"/>
      <c r="M128" s="52"/>
      <c r="N128" s="53"/>
    </row>
    <row r="129" spans="1:18" ht="15.75" x14ac:dyDescent="0.25">
      <c r="A129" s="50" t="s">
        <v>111</v>
      </c>
      <c r="B129" s="51"/>
      <c r="C129" s="51" t="str">
        <f>+C87</f>
        <v>76.999-666-9</v>
      </c>
      <c r="D129" s="51"/>
      <c r="E129" s="51"/>
      <c r="F129" s="51"/>
      <c r="G129" s="51"/>
      <c r="H129" s="52"/>
      <c r="I129" s="52"/>
      <c r="J129" s="52"/>
      <c r="K129" s="52"/>
      <c r="L129" s="52"/>
      <c r="M129" s="52"/>
      <c r="N129" s="53"/>
    </row>
    <row r="130" spans="1:18" ht="15.75" x14ac:dyDescent="0.25">
      <c r="A130" s="50" t="s">
        <v>112</v>
      </c>
      <c r="B130" s="51"/>
      <c r="C130" s="51" t="str">
        <f>+C88</f>
        <v xml:space="preserve">LOS LAGOS 444 , VALDIVIA, </v>
      </c>
      <c r="D130" s="51"/>
      <c r="E130" s="51"/>
      <c r="F130" s="51"/>
      <c r="G130" s="51"/>
      <c r="H130" s="52"/>
      <c r="I130" s="52"/>
      <c r="J130" s="52"/>
      <c r="K130" s="52"/>
      <c r="L130" s="52"/>
      <c r="M130" s="52"/>
      <c r="N130" s="53"/>
    </row>
    <row r="131" spans="1:18" ht="15.75" x14ac:dyDescent="0.25">
      <c r="A131" s="50" t="s">
        <v>113</v>
      </c>
      <c r="B131" s="51"/>
      <c r="C131" s="51" t="str">
        <f>+C89</f>
        <v>RESIDENCIAL</v>
      </c>
      <c r="D131" s="51"/>
      <c r="E131" s="51"/>
      <c r="F131" s="51"/>
      <c r="G131" s="51"/>
      <c r="H131" s="52"/>
      <c r="I131" s="52"/>
      <c r="J131" s="52"/>
      <c r="K131" s="52"/>
      <c r="L131" s="52"/>
      <c r="M131" s="52"/>
      <c r="N131" s="53"/>
    </row>
    <row r="132" spans="1:18" ht="15.75" x14ac:dyDescent="0.25">
      <c r="A132" s="57"/>
      <c r="B132" s="52"/>
      <c r="C132" s="52"/>
      <c r="D132" s="52"/>
      <c r="E132" s="52"/>
      <c r="F132" s="52"/>
      <c r="G132" s="52"/>
      <c r="H132" s="52"/>
      <c r="I132" s="52"/>
      <c r="J132" s="52"/>
      <c r="K132" s="58" t="s">
        <v>114</v>
      </c>
      <c r="L132" s="59" t="s">
        <v>11</v>
      </c>
      <c r="M132" s="60">
        <f>+M90+1</f>
        <v>4</v>
      </c>
      <c r="N132" s="53"/>
    </row>
    <row r="133" spans="1:18" ht="15.75" x14ac:dyDescent="0.25">
      <c r="A133" s="57"/>
      <c r="B133" s="52"/>
      <c r="C133" s="52"/>
      <c r="D133" s="52"/>
      <c r="E133" s="52"/>
      <c r="F133" s="52"/>
      <c r="G133" s="52"/>
      <c r="H133" s="52"/>
      <c r="I133" s="52"/>
      <c r="J133" s="52"/>
      <c r="K133" s="51" t="str">
        <f>+K91</f>
        <v xml:space="preserve">Olmué </v>
      </c>
      <c r="L133" s="51" t="str">
        <f>+L49</f>
        <v>23 DE MARZO 2024</v>
      </c>
      <c r="M133" s="52"/>
      <c r="N133" s="53"/>
    </row>
    <row r="134" spans="1:18" x14ac:dyDescent="0.2">
      <c r="A134" s="57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3"/>
    </row>
    <row r="135" spans="1:18" x14ac:dyDescent="0.2">
      <c r="A135" s="57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3"/>
    </row>
    <row r="136" spans="1:18" x14ac:dyDescent="0.2">
      <c r="A136" s="57"/>
      <c r="B136" s="52"/>
      <c r="C136" s="62" t="s">
        <v>116</v>
      </c>
      <c r="D136" s="63"/>
      <c r="E136" s="63"/>
      <c r="F136" s="63"/>
      <c r="G136" s="63"/>
      <c r="H136" s="63"/>
      <c r="I136" s="63"/>
      <c r="J136" s="52"/>
      <c r="K136" s="52"/>
      <c r="L136" s="52"/>
      <c r="M136" s="52"/>
      <c r="N136" s="53"/>
    </row>
    <row r="137" spans="1:18" x14ac:dyDescent="0.2">
      <c r="A137" s="57"/>
      <c r="B137" s="52"/>
      <c r="C137" s="64"/>
      <c r="D137" s="64"/>
      <c r="E137" s="52"/>
      <c r="F137" s="52"/>
      <c r="G137" s="52"/>
      <c r="H137" s="52"/>
      <c r="I137" s="52"/>
      <c r="J137" s="52"/>
      <c r="K137" s="52"/>
      <c r="L137" s="52"/>
      <c r="M137" s="52"/>
      <c r="N137" s="53"/>
    </row>
    <row r="138" spans="1:18" x14ac:dyDescent="0.2">
      <c r="A138" s="57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3"/>
    </row>
    <row r="139" spans="1:18" x14ac:dyDescent="0.2">
      <c r="A139" s="57" t="s">
        <v>117</v>
      </c>
      <c r="B139" s="52" t="str">
        <f>+C128</f>
        <v>HERMANOS ROJAS LTDA</v>
      </c>
      <c r="C139" s="52"/>
      <c r="D139" s="52"/>
      <c r="E139" s="52" t="s">
        <v>118</v>
      </c>
      <c r="F139" s="52"/>
      <c r="G139" s="52"/>
      <c r="H139" s="52" t="str">
        <f>+'LIBRO REMUNERACIONES'!F48</f>
        <v>DANIELA MARIANA OLGUIN ORDENES</v>
      </c>
      <c r="I139" s="52"/>
      <c r="J139" s="52"/>
      <c r="K139" s="52"/>
      <c r="L139" s="52"/>
      <c r="M139" s="52"/>
      <c r="N139" s="53"/>
    </row>
    <row r="140" spans="1:18" x14ac:dyDescent="0.2">
      <c r="A140" s="57" t="s">
        <v>119</v>
      </c>
      <c r="B140" s="65" t="str">
        <f>+'LIBRO REMUNERACIONES'!C48</f>
        <v>16.756.222-7</v>
      </c>
      <c r="C140" s="52" t="str">
        <f>+C56</f>
        <v xml:space="preserve">             en su calidad de empleado dependiente, durante el año  2023, se le han pagado las rentas que se indican y sobre las cuales se le practicaron las retenciones </v>
      </c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3"/>
    </row>
    <row r="141" spans="1:18" x14ac:dyDescent="0.2">
      <c r="A141" s="57" t="s">
        <v>120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3"/>
    </row>
    <row r="142" spans="1:18" ht="15.75" x14ac:dyDescent="0.25">
      <c r="A142" s="66"/>
      <c r="B142" s="51"/>
      <c r="C142" s="51"/>
      <c r="D142" s="51"/>
      <c r="E142" s="51"/>
      <c r="F142" s="51"/>
      <c r="G142" s="51"/>
      <c r="H142" s="51"/>
      <c r="I142" s="51"/>
      <c r="J142" s="118" t="s">
        <v>121</v>
      </c>
      <c r="K142" s="118"/>
      <c r="L142" s="118"/>
      <c r="M142" s="118"/>
      <c r="N142" s="118"/>
    </row>
    <row r="143" spans="1:18" ht="15.75" x14ac:dyDescent="0.25">
      <c r="A143" s="67" t="s">
        <v>122</v>
      </c>
      <c r="B143" s="68" t="s">
        <v>71</v>
      </c>
      <c r="C143" s="69" t="s">
        <v>123</v>
      </c>
      <c r="D143" s="68" t="s">
        <v>124</v>
      </c>
      <c r="E143" s="68" t="s">
        <v>125</v>
      </c>
      <c r="F143" s="69" t="s">
        <v>125</v>
      </c>
      <c r="G143" s="68" t="s">
        <v>124</v>
      </c>
      <c r="H143" s="68" t="s">
        <v>124</v>
      </c>
      <c r="I143" s="69" t="s">
        <v>126</v>
      </c>
      <c r="J143" s="68" t="s">
        <v>124</v>
      </c>
      <c r="K143" s="68" t="s">
        <v>127</v>
      </c>
      <c r="L143" s="68" t="s">
        <v>128</v>
      </c>
      <c r="M143" s="68" t="s">
        <v>124</v>
      </c>
      <c r="N143" s="70" t="s">
        <v>124</v>
      </c>
      <c r="P143" s="68" t="s">
        <v>71</v>
      </c>
      <c r="Q143" s="68" t="s">
        <v>181</v>
      </c>
      <c r="R143" s="68"/>
    </row>
    <row r="144" spans="1:18" ht="15.75" x14ac:dyDescent="0.25">
      <c r="A144" s="66"/>
      <c r="B144" s="71" t="s">
        <v>129</v>
      </c>
      <c r="C144" s="59" t="s">
        <v>130</v>
      </c>
      <c r="D144" s="71" t="s">
        <v>131</v>
      </c>
      <c r="E144" s="71" t="s">
        <v>103</v>
      </c>
      <c r="F144" s="59" t="s">
        <v>103</v>
      </c>
      <c r="G144" s="71" t="s">
        <v>132</v>
      </c>
      <c r="H144" s="71" t="s">
        <v>133</v>
      </c>
      <c r="I144" s="59" t="s">
        <v>134</v>
      </c>
      <c r="J144" s="71" t="s">
        <v>131</v>
      </c>
      <c r="K144" s="71" t="s">
        <v>103</v>
      </c>
      <c r="L144" s="71" t="s">
        <v>103</v>
      </c>
      <c r="M144" s="71" t="s">
        <v>132</v>
      </c>
      <c r="N144" s="72" t="s">
        <v>133</v>
      </c>
      <c r="P144" s="71" t="s">
        <v>129</v>
      </c>
      <c r="Q144" s="71" t="s">
        <v>182</v>
      </c>
      <c r="R144" s="71"/>
    </row>
    <row r="145" spans="1:18" ht="15.75" x14ac:dyDescent="0.25">
      <c r="A145" s="66"/>
      <c r="B145" s="71"/>
      <c r="C145" s="59"/>
      <c r="D145" s="71"/>
      <c r="E145" s="71" t="s">
        <v>135</v>
      </c>
      <c r="F145" s="59" t="s">
        <v>136</v>
      </c>
      <c r="G145" s="71" t="s">
        <v>137</v>
      </c>
      <c r="H145" s="71" t="s">
        <v>138</v>
      </c>
      <c r="I145" s="59"/>
      <c r="J145" s="71"/>
      <c r="K145" s="71" t="s">
        <v>135</v>
      </c>
      <c r="L145" s="71" t="s">
        <v>136</v>
      </c>
      <c r="M145" s="71" t="s">
        <v>137</v>
      </c>
      <c r="N145" s="72" t="s">
        <v>138</v>
      </c>
      <c r="P145" s="71" t="s">
        <v>139</v>
      </c>
      <c r="Q145" s="71" t="s">
        <v>183</v>
      </c>
      <c r="R145" s="71" t="s">
        <v>189</v>
      </c>
    </row>
    <row r="146" spans="1:18" ht="15.75" x14ac:dyDescent="0.25">
      <c r="A146" s="73"/>
      <c r="B146" s="74"/>
      <c r="C146" s="75"/>
      <c r="D146" s="74"/>
      <c r="E146" s="76"/>
      <c r="F146" s="77"/>
      <c r="G146" s="76" t="s">
        <v>140</v>
      </c>
      <c r="H146" s="76" t="s">
        <v>141</v>
      </c>
      <c r="I146" s="77"/>
      <c r="J146" s="76"/>
      <c r="K146" s="76"/>
      <c r="L146" s="76"/>
      <c r="M146" s="76" t="s">
        <v>140</v>
      </c>
      <c r="N146" s="78" t="s">
        <v>141</v>
      </c>
      <c r="P146" s="74"/>
      <c r="Q146" s="74" t="s">
        <v>184</v>
      </c>
      <c r="R146" s="74"/>
    </row>
    <row r="147" spans="1:18" ht="15.75" x14ac:dyDescent="0.25">
      <c r="A147" s="79" t="s">
        <v>36</v>
      </c>
      <c r="B147" s="82"/>
      <c r="C147" s="105"/>
      <c r="D147" s="82">
        <f>B147-C147</f>
        <v>0</v>
      </c>
      <c r="E147" s="82"/>
      <c r="F147" s="82"/>
      <c r="G147" s="82"/>
      <c r="H147" s="82"/>
      <c r="I147" s="115">
        <v>1.0449999999999999</v>
      </c>
      <c r="J147" s="82">
        <f>+D147*I147</f>
        <v>0</v>
      </c>
      <c r="K147" s="82">
        <f t="shared" ref="K147:K158" si="30">+E147*I147</f>
        <v>0</v>
      </c>
      <c r="L147" s="82">
        <f t="shared" ref="L147:L158" si="31">+F147*I147</f>
        <v>0</v>
      </c>
      <c r="M147" s="82">
        <f t="shared" ref="M147:M158" si="32">+G147*I147</f>
        <v>0</v>
      </c>
      <c r="N147" s="83">
        <f t="shared" ref="N147:N158" si="33">+H147*I147</f>
        <v>0</v>
      </c>
      <c r="P147" s="82">
        <f>+B147*I147</f>
        <v>0</v>
      </c>
      <c r="Q147" s="82">
        <f>+B147*R147</f>
        <v>0</v>
      </c>
      <c r="R147" s="189">
        <f>0.9%+1.55%+2.4%+0.03%</f>
        <v>4.8800000000000003E-2</v>
      </c>
    </row>
    <row r="148" spans="1:18" ht="15.75" x14ac:dyDescent="0.25">
      <c r="A148" s="79" t="s">
        <v>37</v>
      </c>
      <c r="B148" s="82"/>
      <c r="C148" s="105"/>
      <c r="D148" s="82">
        <f t="shared" ref="D148:D149" si="34">B148-C148</f>
        <v>0</v>
      </c>
      <c r="E148" s="82"/>
      <c r="F148" s="82"/>
      <c r="G148" s="82"/>
      <c r="H148" s="82"/>
      <c r="I148" s="115">
        <v>1.0369999999999999</v>
      </c>
      <c r="J148" s="82">
        <f t="shared" ref="J148:J158" si="35">+D148*I148</f>
        <v>0</v>
      </c>
      <c r="K148" s="82">
        <f t="shared" si="30"/>
        <v>0</v>
      </c>
      <c r="L148" s="82">
        <f t="shared" si="31"/>
        <v>0</v>
      </c>
      <c r="M148" s="82">
        <f t="shared" si="32"/>
        <v>0</v>
      </c>
      <c r="N148" s="83">
        <f t="shared" si="33"/>
        <v>0</v>
      </c>
      <c r="P148" s="82">
        <f t="shared" ref="P148:P159" si="36">+B148*I148</f>
        <v>0</v>
      </c>
      <c r="Q148" s="82">
        <f t="shared" ref="Q148:Q158" si="37">+B148*R148</f>
        <v>0</v>
      </c>
      <c r="R148" s="189">
        <f>+R147</f>
        <v>4.8800000000000003E-2</v>
      </c>
    </row>
    <row r="149" spans="1:18" ht="15.75" x14ac:dyDescent="0.25">
      <c r="A149" s="79" t="s">
        <v>38</v>
      </c>
      <c r="B149" s="82"/>
      <c r="C149" s="105"/>
      <c r="D149" s="82">
        <f t="shared" si="34"/>
        <v>0</v>
      </c>
      <c r="E149" s="82"/>
      <c r="F149" s="82"/>
      <c r="G149" s="82"/>
      <c r="H149" s="82"/>
      <c r="I149" s="115">
        <f>+I148</f>
        <v>1.0369999999999999</v>
      </c>
      <c r="J149" s="82">
        <f t="shared" si="35"/>
        <v>0</v>
      </c>
      <c r="K149" s="82">
        <f t="shared" si="30"/>
        <v>0</v>
      </c>
      <c r="L149" s="82">
        <f t="shared" si="31"/>
        <v>0</v>
      </c>
      <c r="M149" s="82">
        <f t="shared" si="32"/>
        <v>0</v>
      </c>
      <c r="N149" s="83">
        <f t="shared" si="33"/>
        <v>0</v>
      </c>
      <c r="P149" s="82">
        <f t="shared" si="36"/>
        <v>0</v>
      </c>
      <c r="Q149" s="82">
        <f t="shared" si="37"/>
        <v>0</v>
      </c>
      <c r="R149" s="189">
        <f>+R148</f>
        <v>4.8800000000000003E-2</v>
      </c>
    </row>
    <row r="150" spans="1:18" ht="15.75" x14ac:dyDescent="0.25">
      <c r="A150" s="79" t="s">
        <v>39</v>
      </c>
      <c r="B150" s="82"/>
      <c r="C150" s="105"/>
      <c r="D150" s="82"/>
      <c r="E150" s="82"/>
      <c r="F150" s="82"/>
      <c r="G150" s="82"/>
      <c r="H150" s="82"/>
      <c r="I150" s="115">
        <v>1.026</v>
      </c>
      <c r="J150" s="82">
        <f t="shared" si="35"/>
        <v>0</v>
      </c>
      <c r="K150" s="82">
        <f t="shared" si="30"/>
        <v>0</v>
      </c>
      <c r="L150" s="82">
        <f t="shared" si="31"/>
        <v>0</v>
      </c>
      <c r="M150" s="82">
        <f t="shared" si="32"/>
        <v>0</v>
      </c>
      <c r="N150" s="83">
        <f t="shared" si="33"/>
        <v>0</v>
      </c>
      <c r="P150" s="82">
        <f t="shared" si="36"/>
        <v>0</v>
      </c>
      <c r="Q150" s="82">
        <f t="shared" si="37"/>
        <v>0</v>
      </c>
      <c r="R150" s="189">
        <f>0.9%+1.61%+2.4%+0.03%</f>
        <v>4.9400000000000006E-2</v>
      </c>
    </row>
    <row r="151" spans="1:18" ht="15.75" x14ac:dyDescent="0.25">
      <c r="A151" s="79" t="s">
        <v>40</v>
      </c>
      <c r="B151" s="82"/>
      <c r="C151" s="105"/>
      <c r="D151" s="82">
        <f t="shared" ref="D151:D158" si="38">B151-C151</f>
        <v>0</v>
      </c>
      <c r="E151" s="82"/>
      <c r="F151" s="82"/>
      <c r="G151" s="82"/>
      <c r="H151" s="82"/>
      <c r="I151" s="115">
        <v>1.0229999999999999</v>
      </c>
      <c r="J151" s="82">
        <f t="shared" si="35"/>
        <v>0</v>
      </c>
      <c r="K151" s="82">
        <f t="shared" si="30"/>
        <v>0</v>
      </c>
      <c r="L151" s="82">
        <f t="shared" si="31"/>
        <v>0</v>
      </c>
      <c r="M151" s="82">
        <f t="shared" si="32"/>
        <v>0</v>
      </c>
      <c r="N151" s="83">
        <f t="shared" si="33"/>
        <v>0</v>
      </c>
      <c r="P151" s="82">
        <f t="shared" si="36"/>
        <v>0</v>
      </c>
      <c r="Q151" s="82">
        <f t="shared" si="37"/>
        <v>0</v>
      </c>
      <c r="R151" s="189">
        <f>+R150</f>
        <v>4.9400000000000006E-2</v>
      </c>
    </row>
    <row r="152" spans="1:18" ht="15.75" x14ac:dyDescent="0.25">
      <c r="A152" s="79" t="s">
        <v>41</v>
      </c>
      <c r="B152" s="82">
        <f>+'LIBRO REMUNERACIONES'!N48</f>
        <v>534458</v>
      </c>
      <c r="C152" s="105">
        <f>+'LIBRO REMUNERACIONES'!Z48</f>
        <v>101761</v>
      </c>
      <c r="D152" s="82">
        <f t="shared" si="38"/>
        <v>432697</v>
      </c>
      <c r="E152" s="82"/>
      <c r="F152" s="82"/>
      <c r="G152" s="82">
        <f>+'LIBRO REMUNERACIONES'!P48</f>
        <v>31194</v>
      </c>
      <c r="H152" s="82"/>
      <c r="I152" s="115">
        <v>1.022</v>
      </c>
      <c r="J152" s="82">
        <f t="shared" si="35"/>
        <v>442216.33400000003</v>
      </c>
      <c r="K152" s="82">
        <f t="shared" si="30"/>
        <v>0</v>
      </c>
      <c r="L152" s="82">
        <f t="shared" si="31"/>
        <v>0</v>
      </c>
      <c r="M152" s="82">
        <f t="shared" si="32"/>
        <v>31880.268</v>
      </c>
      <c r="N152" s="83">
        <f t="shared" si="33"/>
        <v>0</v>
      </c>
      <c r="P152" s="82">
        <f t="shared" si="36"/>
        <v>546216.076</v>
      </c>
      <c r="Q152" s="82">
        <f t="shared" si="37"/>
        <v>26402.225200000004</v>
      </c>
      <c r="R152" s="189">
        <f>+R151</f>
        <v>4.9400000000000006E-2</v>
      </c>
    </row>
    <row r="153" spans="1:18" ht="15.75" x14ac:dyDescent="0.25">
      <c r="A153" s="79" t="s">
        <v>42</v>
      </c>
      <c r="B153" s="82">
        <f>+'LIBRO REMUNERACIONES'!N56</f>
        <v>552183</v>
      </c>
      <c r="C153" s="105">
        <f>+'LIBRO REMUNERACIONES'!Z56</f>
        <v>105136</v>
      </c>
      <c r="D153" s="82">
        <f t="shared" si="38"/>
        <v>447047</v>
      </c>
      <c r="E153" s="82"/>
      <c r="F153" s="82"/>
      <c r="G153" s="82">
        <f>+G152</f>
        <v>31194</v>
      </c>
      <c r="H153" s="82"/>
      <c r="I153" s="115">
        <f>+I151</f>
        <v>1.0229999999999999</v>
      </c>
      <c r="J153" s="82">
        <f t="shared" si="35"/>
        <v>457329.08099999995</v>
      </c>
      <c r="K153" s="82">
        <f t="shared" si="30"/>
        <v>0</v>
      </c>
      <c r="L153" s="82">
        <f t="shared" si="31"/>
        <v>0</v>
      </c>
      <c r="M153" s="82">
        <f t="shared" si="32"/>
        <v>31911.461999999996</v>
      </c>
      <c r="N153" s="83">
        <f t="shared" si="33"/>
        <v>0</v>
      </c>
      <c r="P153" s="82">
        <f t="shared" si="36"/>
        <v>564883.20899999992</v>
      </c>
      <c r="Q153" s="82">
        <f t="shared" si="37"/>
        <v>28768.7343</v>
      </c>
      <c r="R153" s="189">
        <f>0.9%+1.88%+2.4%+0.03%</f>
        <v>5.21E-2</v>
      </c>
    </row>
    <row r="154" spans="1:18" ht="15.75" x14ac:dyDescent="0.25">
      <c r="A154" s="79" t="s">
        <v>43</v>
      </c>
      <c r="B154" s="82">
        <f>+'LIBRO REMUNERACIONES'!N64</f>
        <v>546275</v>
      </c>
      <c r="C154" s="105">
        <f>+'LIBRO REMUNERACIONES'!Z64</f>
        <v>104011</v>
      </c>
      <c r="D154" s="82">
        <f t="shared" si="38"/>
        <v>442264</v>
      </c>
      <c r="E154" s="82"/>
      <c r="F154" s="82"/>
      <c r="G154" s="82">
        <f>+'LIBRO REMUNERACIONES'!P64</f>
        <v>32836</v>
      </c>
      <c r="H154" s="82"/>
      <c r="I154" s="115">
        <v>1.02</v>
      </c>
      <c r="J154" s="82">
        <f t="shared" si="35"/>
        <v>451109.28</v>
      </c>
      <c r="K154" s="82">
        <f t="shared" si="30"/>
        <v>0</v>
      </c>
      <c r="L154" s="82">
        <f t="shared" si="31"/>
        <v>0</v>
      </c>
      <c r="M154" s="82">
        <f t="shared" si="32"/>
        <v>33492.720000000001</v>
      </c>
      <c r="N154" s="83">
        <f t="shared" si="33"/>
        <v>0</v>
      </c>
      <c r="P154" s="82">
        <f t="shared" si="36"/>
        <v>557200.5</v>
      </c>
      <c r="Q154" s="82">
        <f t="shared" si="37"/>
        <v>28460.927500000002</v>
      </c>
      <c r="R154" s="189">
        <f>+R153</f>
        <v>5.21E-2</v>
      </c>
    </row>
    <row r="155" spans="1:18" ht="15.75" x14ac:dyDescent="0.25">
      <c r="A155" s="79" t="s">
        <v>44</v>
      </c>
      <c r="B155" s="82">
        <f>+'LIBRO REMUNERACIONES'!N72</f>
        <v>652932</v>
      </c>
      <c r="C155" s="105">
        <f>+'LIBRO REMUNERACIONES'!Z72</f>
        <v>124318</v>
      </c>
      <c r="D155" s="82">
        <f t="shared" si="38"/>
        <v>528614</v>
      </c>
      <c r="E155" s="82"/>
      <c r="F155" s="82"/>
      <c r="G155" s="82">
        <f>+G154</f>
        <v>32836</v>
      </c>
      <c r="H155" s="82"/>
      <c r="I155" s="115">
        <v>1.0189999999999999</v>
      </c>
      <c r="J155" s="82">
        <f t="shared" si="35"/>
        <v>538657.66599999997</v>
      </c>
      <c r="K155" s="82">
        <f t="shared" si="30"/>
        <v>0</v>
      </c>
      <c r="L155" s="82">
        <f t="shared" si="31"/>
        <v>0</v>
      </c>
      <c r="M155" s="82">
        <f t="shared" si="32"/>
        <v>33459.883999999998</v>
      </c>
      <c r="N155" s="83">
        <f t="shared" si="33"/>
        <v>0</v>
      </c>
      <c r="P155" s="82">
        <f t="shared" si="36"/>
        <v>665337.70799999998</v>
      </c>
      <c r="Q155" s="82">
        <f t="shared" si="37"/>
        <v>34017.7572</v>
      </c>
      <c r="R155" s="189">
        <f>+R154</f>
        <v>5.21E-2</v>
      </c>
    </row>
    <row r="156" spans="1:18" ht="15.75" x14ac:dyDescent="0.25">
      <c r="A156" s="79" t="s">
        <v>45</v>
      </c>
      <c r="B156" s="82">
        <f>+'LIBRO REMUNERACIONES'!N80</f>
        <v>575734</v>
      </c>
      <c r="C156" s="105">
        <f>+'LIBRO REMUNERACIONES'!Z80</f>
        <v>109619</v>
      </c>
      <c r="D156" s="82">
        <f t="shared" si="38"/>
        <v>466115</v>
      </c>
      <c r="E156" s="82"/>
      <c r="F156" s="82"/>
      <c r="G156" s="82">
        <f>+'LIBRO REMUNERACIONES'!P80</f>
        <v>20150</v>
      </c>
      <c r="H156" s="82"/>
      <c r="I156" s="115">
        <v>1.012</v>
      </c>
      <c r="J156" s="82">
        <f t="shared" si="35"/>
        <v>471708.38</v>
      </c>
      <c r="K156" s="82">
        <f t="shared" si="30"/>
        <v>0</v>
      </c>
      <c r="L156" s="82">
        <f t="shared" si="31"/>
        <v>0</v>
      </c>
      <c r="M156" s="82">
        <f t="shared" si="32"/>
        <v>20391.8</v>
      </c>
      <c r="N156" s="83">
        <f t="shared" si="33"/>
        <v>0</v>
      </c>
      <c r="P156" s="82">
        <f t="shared" si="36"/>
        <v>582642.80799999996</v>
      </c>
      <c r="Q156" s="82">
        <f t="shared" si="37"/>
        <v>27635.232</v>
      </c>
      <c r="R156" s="189">
        <f>0.9%+1.47%+2.4%+0.03%</f>
        <v>4.8000000000000001E-2</v>
      </c>
    </row>
    <row r="157" spans="1:18" ht="15.75" x14ac:dyDescent="0.25">
      <c r="A157" s="79" t="s">
        <v>46</v>
      </c>
      <c r="B157" s="82">
        <f>+'LIBRO REMUNERACIONES'!N87</f>
        <v>396059</v>
      </c>
      <c r="C157" s="105">
        <f>+'LIBRO REMUNERACIONES'!Z87</f>
        <v>75409</v>
      </c>
      <c r="D157" s="82">
        <f t="shared" si="38"/>
        <v>320650</v>
      </c>
      <c r="E157" s="82"/>
      <c r="F157" s="112"/>
      <c r="G157" s="82">
        <f>+G156</f>
        <v>20150</v>
      </c>
      <c r="H157" s="82"/>
      <c r="I157" s="115">
        <v>1.0069999999999999</v>
      </c>
      <c r="J157" s="82">
        <f t="shared" si="35"/>
        <v>322894.55</v>
      </c>
      <c r="K157" s="82">
        <f t="shared" si="30"/>
        <v>0</v>
      </c>
      <c r="L157" s="82">
        <f t="shared" si="31"/>
        <v>0</v>
      </c>
      <c r="M157" s="82">
        <f t="shared" si="32"/>
        <v>20291.05</v>
      </c>
      <c r="N157" s="83">
        <f t="shared" si="33"/>
        <v>0</v>
      </c>
      <c r="P157" s="82">
        <f t="shared" si="36"/>
        <v>398831.41299999994</v>
      </c>
      <c r="Q157" s="82">
        <f t="shared" si="37"/>
        <v>19010.832000000002</v>
      </c>
      <c r="R157" s="189">
        <f>+R156</f>
        <v>4.8000000000000001E-2</v>
      </c>
    </row>
    <row r="158" spans="1:18" ht="15.75" x14ac:dyDescent="0.25">
      <c r="A158" s="79" t="s">
        <v>47</v>
      </c>
      <c r="B158" s="82">
        <f>+'LIBRO REMUNERACIONES'!N94</f>
        <v>393727</v>
      </c>
      <c r="C158" s="105">
        <f>+'LIBRO REMUNERACIONES'!Z94</f>
        <v>74965</v>
      </c>
      <c r="D158" s="82">
        <f t="shared" si="38"/>
        <v>318762</v>
      </c>
      <c r="E158" s="82"/>
      <c r="F158" s="112"/>
      <c r="G158" s="82">
        <f>+'LIBRO REMUNERACIONES'!P94</f>
        <v>20150</v>
      </c>
      <c r="H158" s="82"/>
      <c r="I158" s="115">
        <v>1</v>
      </c>
      <c r="J158" s="82">
        <f t="shared" si="35"/>
        <v>318762</v>
      </c>
      <c r="K158" s="82">
        <f t="shared" si="30"/>
        <v>0</v>
      </c>
      <c r="L158" s="82">
        <f t="shared" si="31"/>
        <v>0</v>
      </c>
      <c r="M158" s="82">
        <f t="shared" si="32"/>
        <v>20150</v>
      </c>
      <c r="N158" s="83">
        <f t="shared" si="33"/>
        <v>0</v>
      </c>
      <c r="P158" s="82">
        <f t="shared" si="36"/>
        <v>393727</v>
      </c>
      <c r="Q158" s="82">
        <f t="shared" si="37"/>
        <v>18898.896000000001</v>
      </c>
      <c r="R158" s="189">
        <f>+R157</f>
        <v>4.8000000000000001E-2</v>
      </c>
    </row>
    <row r="159" spans="1:18" x14ac:dyDescent="0.2">
      <c r="A159" s="79"/>
      <c r="B159" s="82"/>
      <c r="C159" s="82"/>
      <c r="D159" s="82"/>
      <c r="E159" s="82"/>
      <c r="F159" s="112"/>
      <c r="G159" s="82"/>
      <c r="H159" s="82"/>
      <c r="I159" s="85"/>
      <c r="J159" s="82"/>
      <c r="K159" s="82"/>
      <c r="L159" s="82"/>
      <c r="M159" s="82"/>
      <c r="N159" s="83"/>
      <c r="P159" s="82">
        <f t="shared" si="36"/>
        <v>0</v>
      </c>
      <c r="Q159" s="82">
        <f>+C159*J159</f>
        <v>0</v>
      </c>
    </row>
    <row r="160" spans="1:18" ht="15.75" x14ac:dyDescent="0.25">
      <c r="A160" s="86" t="s">
        <v>142</v>
      </c>
      <c r="B160" s="87">
        <f>SUM(B147:B158)</f>
        <v>3651368</v>
      </c>
      <c r="C160" s="87">
        <f t="shared" ref="C160:N160" si="39">SUM(C147:C158)</f>
        <v>695219</v>
      </c>
      <c r="D160" s="87">
        <f t="shared" si="39"/>
        <v>2956149</v>
      </c>
      <c r="E160" s="87">
        <f t="shared" si="39"/>
        <v>0</v>
      </c>
      <c r="F160" s="87">
        <f t="shared" si="39"/>
        <v>0</v>
      </c>
      <c r="G160" s="87">
        <f t="shared" si="39"/>
        <v>188510</v>
      </c>
      <c r="H160" s="87">
        <f t="shared" si="39"/>
        <v>0</v>
      </c>
      <c r="I160" s="87">
        <f t="shared" si="39"/>
        <v>12.270999999999999</v>
      </c>
      <c r="J160" s="87">
        <f t="shared" si="39"/>
        <v>3002677.2909999997</v>
      </c>
      <c r="K160" s="87">
        <f t="shared" si="39"/>
        <v>0</v>
      </c>
      <c r="L160" s="87">
        <f t="shared" si="39"/>
        <v>0</v>
      </c>
      <c r="M160" s="87">
        <f t="shared" si="39"/>
        <v>191577.18399999998</v>
      </c>
      <c r="N160" s="87">
        <f t="shared" si="39"/>
        <v>0</v>
      </c>
      <c r="P160" s="88">
        <f>SUM(P147:P158)</f>
        <v>3708838.7139999997</v>
      </c>
      <c r="Q160" s="88">
        <f>SUM(Q147:Q158)</f>
        <v>183194.6042</v>
      </c>
    </row>
    <row r="161" spans="1:18" ht="15.75" x14ac:dyDescent="0.25">
      <c r="A161" s="66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90"/>
    </row>
    <row r="162" spans="1:18" x14ac:dyDescent="0.2">
      <c r="A162" s="91" t="s">
        <v>143</v>
      </c>
      <c r="B162" s="52"/>
      <c r="C162" s="52"/>
      <c r="D162" s="52"/>
      <c r="E162" s="52"/>
      <c r="F162" s="52"/>
      <c r="G162" s="92" t="s">
        <v>144</v>
      </c>
      <c r="H162" s="52"/>
      <c r="I162" s="52"/>
      <c r="J162" s="52"/>
      <c r="K162" s="52"/>
      <c r="L162" s="52"/>
      <c r="M162" s="52"/>
      <c r="N162" s="53"/>
    </row>
    <row r="163" spans="1:18" x14ac:dyDescent="0.2">
      <c r="A163" s="57" t="s">
        <v>145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3"/>
    </row>
    <row r="164" spans="1:18" x14ac:dyDescent="0.2">
      <c r="A164" s="57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3"/>
    </row>
    <row r="165" spans="1:18" ht="15.75" x14ac:dyDescent="0.25">
      <c r="A165" s="57"/>
      <c r="B165" s="52"/>
      <c r="C165" s="52"/>
      <c r="D165" s="52"/>
      <c r="E165" s="52"/>
      <c r="F165" s="52"/>
      <c r="G165" s="52"/>
      <c r="H165" s="52"/>
      <c r="I165" s="52"/>
      <c r="J165" s="60"/>
      <c r="K165" s="51"/>
      <c r="L165" s="51" t="str">
        <f>+L123</f>
        <v xml:space="preserve">JUAN ROJAS </v>
      </c>
      <c r="M165" s="51"/>
      <c r="N165" s="53"/>
    </row>
    <row r="166" spans="1:18" ht="15.75" x14ac:dyDescent="0.25">
      <c r="A166" s="57"/>
      <c r="B166" s="52"/>
      <c r="C166" s="52"/>
      <c r="D166" s="52"/>
      <c r="E166" s="52"/>
      <c r="F166" s="52"/>
      <c r="G166" s="52"/>
      <c r="H166" s="52"/>
      <c r="I166" s="52"/>
      <c r="J166" s="60"/>
      <c r="K166" s="51"/>
      <c r="L166" s="51" t="s">
        <v>146</v>
      </c>
      <c r="M166" s="51"/>
      <c r="N166" s="53"/>
    </row>
    <row r="167" spans="1:18" ht="15.75" x14ac:dyDescent="0.25">
      <c r="A167" s="57"/>
      <c r="B167" s="52"/>
      <c r="C167" s="52"/>
      <c r="D167" s="52"/>
      <c r="E167" s="52"/>
      <c r="F167" s="52"/>
      <c r="G167" s="52"/>
      <c r="H167" s="52"/>
      <c r="I167" s="52"/>
      <c r="J167" s="60"/>
      <c r="K167" s="95"/>
      <c r="L167" s="51" t="str">
        <f>+L125</f>
        <v>8.888.888-8</v>
      </c>
      <c r="M167" s="95"/>
      <c r="N167" s="53"/>
    </row>
    <row r="168" spans="1:18" ht="15.75" thickBot="1" x14ac:dyDescent="0.25">
      <c r="A168" s="96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8"/>
    </row>
    <row r="169" spans="1:18" ht="15.75" x14ac:dyDescent="0.25">
      <c r="A169" s="66"/>
      <c r="B169" s="68" t="s">
        <v>71</v>
      </c>
      <c r="C169" s="69" t="s">
        <v>123</v>
      </c>
      <c r="D169" s="68" t="s">
        <v>124</v>
      </c>
      <c r="E169" s="68" t="s">
        <v>125</v>
      </c>
      <c r="F169" s="69" t="s">
        <v>125</v>
      </c>
      <c r="G169" s="68" t="s">
        <v>124</v>
      </c>
      <c r="H169" s="68" t="s">
        <v>124</v>
      </c>
      <c r="I169" s="69" t="s">
        <v>126</v>
      </c>
      <c r="J169" s="68" t="s">
        <v>124</v>
      </c>
      <c r="K169" s="68" t="s">
        <v>127</v>
      </c>
      <c r="L169" s="68" t="s">
        <v>128</v>
      </c>
      <c r="M169" s="68" t="s">
        <v>124</v>
      </c>
      <c r="N169" s="70" t="s">
        <v>124</v>
      </c>
      <c r="P169" s="68" t="s">
        <v>71</v>
      </c>
      <c r="Q169" s="68" t="s">
        <v>181</v>
      </c>
      <c r="R169" s="68"/>
    </row>
    <row r="170" spans="1:18" ht="15.75" x14ac:dyDescent="0.25">
      <c r="A170" s="73"/>
      <c r="B170" s="71" t="s">
        <v>129</v>
      </c>
      <c r="C170" s="59" t="s">
        <v>130</v>
      </c>
      <c r="D170" s="71" t="s">
        <v>131</v>
      </c>
      <c r="E170" s="71" t="s">
        <v>103</v>
      </c>
      <c r="F170" s="59" t="s">
        <v>103</v>
      </c>
      <c r="G170" s="71" t="s">
        <v>132</v>
      </c>
      <c r="H170" s="71" t="s">
        <v>133</v>
      </c>
      <c r="I170" s="59" t="s">
        <v>134</v>
      </c>
      <c r="J170" s="71" t="s">
        <v>131</v>
      </c>
      <c r="K170" s="71" t="s">
        <v>103</v>
      </c>
      <c r="L170" s="71" t="s">
        <v>103</v>
      </c>
      <c r="M170" s="71" t="s">
        <v>132</v>
      </c>
      <c r="N170" s="72" t="s">
        <v>133</v>
      </c>
      <c r="P170" s="71" t="s">
        <v>129</v>
      </c>
      <c r="Q170" s="71" t="s">
        <v>182</v>
      </c>
      <c r="R170" s="71"/>
    </row>
    <row r="171" spans="1:18" ht="15.75" x14ac:dyDescent="0.25">
      <c r="A171" s="73"/>
      <c r="B171" s="71"/>
      <c r="C171" s="59"/>
      <c r="D171" s="71"/>
      <c r="E171" s="71" t="s">
        <v>135</v>
      </c>
      <c r="F171" s="59" t="s">
        <v>136</v>
      </c>
      <c r="G171" s="71" t="s">
        <v>137</v>
      </c>
      <c r="H171" s="71" t="s">
        <v>138</v>
      </c>
      <c r="I171" s="59"/>
      <c r="J171" s="71"/>
      <c r="K171" s="71" t="s">
        <v>135</v>
      </c>
      <c r="L171" s="71" t="s">
        <v>136</v>
      </c>
      <c r="M171" s="71" t="s">
        <v>137</v>
      </c>
      <c r="N171" s="72" t="s">
        <v>138</v>
      </c>
      <c r="P171" s="71" t="s">
        <v>139</v>
      </c>
      <c r="Q171" s="71" t="s">
        <v>183</v>
      </c>
      <c r="R171" s="71" t="s">
        <v>189</v>
      </c>
    </row>
    <row r="172" spans="1:18" ht="15.75" x14ac:dyDescent="0.25">
      <c r="A172" s="73"/>
      <c r="B172" s="74"/>
      <c r="C172" s="75"/>
      <c r="D172" s="74"/>
      <c r="E172" s="76"/>
      <c r="F172" s="77"/>
      <c r="G172" s="76" t="s">
        <v>140</v>
      </c>
      <c r="H172" s="76" t="s">
        <v>141</v>
      </c>
      <c r="I172" s="77"/>
      <c r="J172" s="76"/>
      <c r="K172" s="76"/>
      <c r="L172" s="76"/>
      <c r="M172" s="76" t="s">
        <v>140</v>
      </c>
      <c r="N172" s="78" t="s">
        <v>141</v>
      </c>
      <c r="P172" s="74"/>
      <c r="Q172" s="74" t="s">
        <v>184</v>
      </c>
      <c r="R172" s="74"/>
    </row>
    <row r="173" spans="1:18" x14ac:dyDescent="0.2">
      <c r="A173" s="79" t="s">
        <v>36</v>
      </c>
      <c r="B173" s="82">
        <f>+B21+B63+B105+B147</f>
        <v>2742543</v>
      </c>
      <c r="C173" s="82">
        <f>+C21+C63+C105+C147</f>
        <v>516278</v>
      </c>
      <c r="D173" s="82">
        <f t="shared" ref="D173:D184" si="40">B173-C173</f>
        <v>2226265</v>
      </c>
      <c r="E173" s="82">
        <f>+E21</f>
        <v>20886</v>
      </c>
      <c r="F173" s="82"/>
      <c r="G173" s="82">
        <f>+G21+G63+G105+G147</f>
        <v>208815</v>
      </c>
      <c r="H173" s="82"/>
      <c r="I173" s="115">
        <v>1.0449999999999999</v>
      </c>
      <c r="J173" s="82">
        <f t="shared" ref="J173:J184" si="41">+D173*I173</f>
        <v>2326446.9249999998</v>
      </c>
      <c r="K173" s="82">
        <f t="shared" ref="K173:K184" si="42">+E173*I173</f>
        <v>21825.87</v>
      </c>
      <c r="L173" s="82">
        <f t="shared" ref="L173:L184" si="43">+F173*I173</f>
        <v>0</v>
      </c>
      <c r="M173" s="82">
        <f t="shared" ref="M173:M184" si="44">+G173*I173</f>
        <v>218211.67499999999</v>
      </c>
      <c r="N173" s="83">
        <f t="shared" ref="N173:N184" si="45">+H173*I173</f>
        <v>0</v>
      </c>
      <c r="P173" s="82">
        <f>+B173*I173</f>
        <v>2865957.4349999996</v>
      </c>
      <c r="Q173" s="82">
        <f>+Q21+Q63+Q105+Q147</f>
        <v>133177.21799999999</v>
      </c>
      <c r="R173" s="189"/>
    </row>
    <row r="174" spans="1:18" x14ac:dyDescent="0.2">
      <c r="A174" s="79" t="s">
        <v>37</v>
      </c>
      <c r="B174" s="82">
        <f t="shared" ref="B174:C174" si="46">+B22+B64+B106+B148</f>
        <v>2668052</v>
      </c>
      <c r="C174" s="82">
        <f t="shared" si="46"/>
        <v>510362</v>
      </c>
      <c r="D174" s="82">
        <f t="shared" si="40"/>
        <v>2157690</v>
      </c>
      <c r="E174" s="82">
        <f>+E22</f>
        <v>20662</v>
      </c>
      <c r="F174" s="82"/>
      <c r="G174" s="82">
        <f>+G22+G64+G106+G148</f>
        <v>208815</v>
      </c>
      <c r="H174" s="82"/>
      <c r="I174" s="115">
        <v>1.0369999999999999</v>
      </c>
      <c r="J174" s="82">
        <f t="shared" si="41"/>
        <v>2237524.5299999998</v>
      </c>
      <c r="K174" s="82">
        <f t="shared" si="42"/>
        <v>21426.493999999999</v>
      </c>
      <c r="L174" s="82">
        <f t="shared" si="43"/>
        <v>0</v>
      </c>
      <c r="M174" s="82">
        <f t="shared" si="44"/>
        <v>216541.15499999997</v>
      </c>
      <c r="N174" s="83">
        <f t="shared" si="45"/>
        <v>0</v>
      </c>
      <c r="P174" s="82">
        <f t="shared" ref="P174:Q185" si="47">+B174*I174</f>
        <v>2766769.9239999996</v>
      </c>
      <c r="Q174" s="82">
        <f t="shared" ref="Q174:Q184" si="48">+Q22+Q64+Q106+Q148</f>
        <v>129553.7947</v>
      </c>
      <c r="R174" s="189"/>
    </row>
    <row r="175" spans="1:18" x14ac:dyDescent="0.2">
      <c r="A175" s="79" t="s">
        <v>38</v>
      </c>
      <c r="B175" s="82">
        <f t="shared" ref="B175:C175" si="49">+B23+B65+B107+B149</f>
        <v>2484640</v>
      </c>
      <c r="C175" s="82">
        <f t="shared" si="49"/>
        <v>483079</v>
      </c>
      <c r="D175" s="82">
        <f t="shared" si="40"/>
        <v>2001561</v>
      </c>
      <c r="E175" s="82">
        <f>+E23</f>
        <v>13723</v>
      </c>
      <c r="F175" s="82"/>
      <c r="G175" s="82">
        <f>+G23+G65+G107+G149</f>
        <v>208815</v>
      </c>
      <c r="H175" s="82"/>
      <c r="I175" s="115">
        <f>+I174</f>
        <v>1.0369999999999999</v>
      </c>
      <c r="J175" s="82">
        <f t="shared" si="41"/>
        <v>2075618.7569999998</v>
      </c>
      <c r="K175" s="82">
        <f t="shared" si="42"/>
        <v>14230.750999999998</v>
      </c>
      <c r="L175" s="82">
        <f t="shared" si="43"/>
        <v>0</v>
      </c>
      <c r="M175" s="82">
        <f t="shared" si="44"/>
        <v>216541.15499999997</v>
      </c>
      <c r="N175" s="83">
        <f t="shared" si="45"/>
        <v>0</v>
      </c>
      <c r="P175" s="82">
        <f t="shared" si="47"/>
        <v>2576571.6799999997</v>
      </c>
      <c r="Q175" s="82">
        <f t="shared" si="48"/>
        <v>120658.31270000001</v>
      </c>
      <c r="R175" s="189"/>
    </row>
    <row r="176" spans="1:18" x14ac:dyDescent="0.2">
      <c r="A176" s="79" t="s">
        <v>39</v>
      </c>
      <c r="B176" s="82">
        <f t="shared" ref="B176:C176" si="50">+B24+B66+B108+B150</f>
        <v>1949276</v>
      </c>
      <c r="C176" s="82">
        <f t="shared" si="50"/>
        <v>387670</v>
      </c>
      <c r="D176" s="82">
        <f t="shared" si="40"/>
        <v>1561606</v>
      </c>
      <c r="E176" s="82">
        <f>+E24</f>
        <v>13032</v>
      </c>
      <c r="F176" s="82"/>
      <c r="G176" s="82">
        <f>+G24+G66+G108+G150</f>
        <v>208815</v>
      </c>
      <c r="H176" s="82"/>
      <c r="I176" s="115">
        <v>1.026</v>
      </c>
      <c r="J176" s="82">
        <f t="shared" si="41"/>
        <v>1602207.7560000001</v>
      </c>
      <c r="K176" s="82">
        <f t="shared" si="42"/>
        <v>13370.832</v>
      </c>
      <c r="L176" s="82">
        <f t="shared" si="43"/>
        <v>0</v>
      </c>
      <c r="M176" s="82">
        <f t="shared" si="44"/>
        <v>214244.19</v>
      </c>
      <c r="N176" s="83">
        <f t="shared" si="45"/>
        <v>0</v>
      </c>
      <c r="P176" s="82">
        <f t="shared" si="47"/>
        <v>1999957.176</v>
      </c>
      <c r="Q176" s="82">
        <f t="shared" si="48"/>
        <v>95882.171800000011</v>
      </c>
      <c r="R176" s="189"/>
    </row>
    <row r="177" spans="1:18" x14ac:dyDescent="0.2">
      <c r="A177" s="79" t="s">
        <v>40</v>
      </c>
      <c r="B177" s="82">
        <f t="shared" ref="B177:C177" si="51">+B25+B67+B109+B151</f>
        <v>2694086</v>
      </c>
      <c r="C177" s="82">
        <f t="shared" si="51"/>
        <v>534072</v>
      </c>
      <c r="D177" s="82">
        <f t="shared" si="40"/>
        <v>2160014</v>
      </c>
      <c r="E177" s="82">
        <f>+E25</f>
        <v>14724</v>
      </c>
      <c r="F177" s="82"/>
      <c r="G177" s="82">
        <f>+G25+G67+G109+G151</f>
        <v>209571</v>
      </c>
      <c r="H177" s="82"/>
      <c r="I177" s="115">
        <v>1.0229999999999999</v>
      </c>
      <c r="J177" s="82">
        <f t="shared" si="41"/>
        <v>2209694.3219999997</v>
      </c>
      <c r="K177" s="82">
        <f t="shared" si="42"/>
        <v>15062.651999999998</v>
      </c>
      <c r="L177" s="82">
        <f t="shared" si="43"/>
        <v>0</v>
      </c>
      <c r="M177" s="82">
        <f t="shared" si="44"/>
        <v>214391.13299999997</v>
      </c>
      <c r="N177" s="83">
        <f t="shared" si="45"/>
        <v>0</v>
      </c>
      <c r="P177" s="82">
        <f t="shared" si="47"/>
        <v>2756049.9779999997</v>
      </c>
      <c r="Q177" s="82">
        <f t="shared" si="48"/>
        <v>132454.11490000002</v>
      </c>
      <c r="R177" s="189"/>
    </row>
    <row r="178" spans="1:18" x14ac:dyDescent="0.2">
      <c r="A178" s="79" t="s">
        <v>41</v>
      </c>
      <c r="B178" s="82">
        <f t="shared" ref="B178:C178" si="52">+B26+B68+B110+B152</f>
        <v>3186877</v>
      </c>
      <c r="C178" s="82">
        <f t="shared" si="52"/>
        <v>615015</v>
      </c>
      <c r="D178" s="82">
        <f t="shared" si="40"/>
        <v>2571862</v>
      </c>
      <c r="E178" s="82">
        <f>+E26</f>
        <v>13461</v>
      </c>
      <c r="F178" s="82"/>
      <c r="G178" s="82">
        <f>+G26+G68+G110+G152</f>
        <v>240765</v>
      </c>
      <c r="H178" s="82"/>
      <c r="I178" s="115">
        <v>1.022</v>
      </c>
      <c r="J178" s="82">
        <f t="shared" si="41"/>
        <v>2628442.9640000002</v>
      </c>
      <c r="K178" s="82">
        <f t="shared" si="42"/>
        <v>13757.142</v>
      </c>
      <c r="L178" s="82">
        <f t="shared" si="43"/>
        <v>0</v>
      </c>
      <c r="M178" s="82">
        <f t="shared" si="44"/>
        <v>246061.83000000002</v>
      </c>
      <c r="N178" s="83">
        <f t="shared" si="45"/>
        <v>0</v>
      </c>
      <c r="P178" s="82">
        <f t="shared" si="47"/>
        <v>3256988.2940000002</v>
      </c>
      <c r="Q178" s="82">
        <f t="shared" si="48"/>
        <v>156810.49040000004</v>
      </c>
      <c r="R178" s="189"/>
    </row>
    <row r="179" spans="1:18" x14ac:dyDescent="0.2">
      <c r="A179" s="79" t="s">
        <v>42</v>
      </c>
      <c r="B179" s="82">
        <f t="shared" ref="B179:C179" si="53">+B27+B69+B111+B153</f>
        <v>3421267</v>
      </c>
      <c r="C179" s="82">
        <f t="shared" si="53"/>
        <v>640369</v>
      </c>
      <c r="D179" s="82">
        <f t="shared" si="40"/>
        <v>2780898</v>
      </c>
      <c r="E179" s="82">
        <f>+E27</f>
        <v>23087</v>
      </c>
      <c r="F179" s="82"/>
      <c r="G179" s="82">
        <f>+G27+G69+G111+G153</f>
        <v>240765</v>
      </c>
      <c r="H179" s="82"/>
      <c r="I179" s="115">
        <f>+I177</f>
        <v>1.0229999999999999</v>
      </c>
      <c r="J179" s="82">
        <f t="shared" si="41"/>
        <v>2844858.6539999996</v>
      </c>
      <c r="K179" s="82">
        <f t="shared" si="42"/>
        <v>23618.000999999997</v>
      </c>
      <c r="L179" s="82">
        <f t="shared" si="43"/>
        <v>0</v>
      </c>
      <c r="M179" s="82">
        <f t="shared" si="44"/>
        <v>246302.59499999997</v>
      </c>
      <c r="N179" s="83">
        <f t="shared" si="45"/>
        <v>0</v>
      </c>
      <c r="P179" s="82">
        <f t="shared" si="47"/>
        <v>3499956.1409999998</v>
      </c>
      <c r="Q179" s="82">
        <f t="shared" si="48"/>
        <v>177551.16800000001</v>
      </c>
      <c r="R179" s="189"/>
    </row>
    <row r="180" spans="1:18" x14ac:dyDescent="0.2">
      <c r="A180" s="79" t="s">
        <v>43</v>
      </c>
      <c r="B180" s="82">
        <f t="shared" ref="B180:C180" si="54">+B28+B70+B112+B154</f>
        <v>3067306</v>
      </c>
      <c r="C180" s="82">
        <f t="shared" si="54"/>
        <v>596835</v>
      </c>
      <c r="D180" s="82">
        <f t="shared" si="40"/>
        <v>2470471</v>
      </c>
      <c r="E180" s="82">
        <f>+E28</f>
        <v>11758</v>
      </c>
      <c r="F180" s="82"/>
      <c r="G180" s="82">
        <f>+G28+G70+G112+G154</f>
        <v>242911</v>
      </c>
      <c r="H180" s="82"/>
      <c r="I180" s="115">
        <v>1.02</v>
      </c>
      <c r="J180" s="82">
        <f t="shared" si="41"/>
        <v>2519880.42</v>
      </c>
      <c r="K180" s="82">
        <f t="shared" si="42"/>
        <v>11993.16</v>
      </c>
      <c r="L180" s="82">
        <f t="shared" si="43"/>
        <v>0</v>
      </c>
      <c r="M180" s="82">
        <f t="shared" si="44"/>
        <v>247769.22</v>
      </c>
      <c r="N180" s="83">
        <f t="shared" si="45"/>
        <v>0</v>
      </c>
      <c r="P180" s="82">
        <f t="shared" si="47"/>
        <v>3128652.12</v>
      </c>
      <c r="Q180" s="82">
        <f t="shared" si="48"/>
        <v>159214.21580000001</v>
      </c>
      <c r="R180" s="189"/>
    </row>
    <row r="181" spans="1:18" x14ac:dyDescent="0.2">
      <c r="A181" s="79" t="s">
        <v>44</v>
      </c>
      <c r="B181" s="82">
        <f t="shared" ref="B181:C181" si="55">+B29+B71+B113+B155</f>
        <v>3661386</v>
      </c>
      <c r="C181" s="82">
        <f t="shared" si="55"/>
        <v>691785</v>
      </c>
      <c r="D181" s="82">
        <f t="shared" si="40"/>
        <v>2969601</v>
      </c>
      <c r="E181" s="82">
        <f>+E29</f>
        <v>16649</v>
      </c>
      <c r="F181" s="82"/>
      <c r="G181" s="82">
        <f>+G29+G71+G113+G155</f>
        <v>242911</v>
      </c>
      <c r="H181" s="82"/>
      <c r="I181" s="115">
        <v>1.0189999999999999</v>
      </c>
      <c r="J181" s="82">
        <f t="shared" si="41"/>
        <v>3026023.4189999998</v>
      </c>
      <c r="K181" s="82">
        <f t="shared" si="42"/>
        <v>16965.330999999998</v>
      </c>
      <c r="L181" s="82">
        <f t="shared" si="43"/>
        <v>0</v>
      </c>
      <c r="M181" s="82">
        <f t="shared" si="44"/>
        <v>247526.30899999998</v>
      </c>
      <c r="N181" s="83">
        <f t="shared" si="45"/>
        <v>0</v>
      </c>
      <c r="P181" s="82">
        <f t="shared" si="47"/>
        <v>3730952.3339999998</v>
      </c>
      <c r="Q181" s="82">
        <f t="shared" si="48"/>
        <v>190069.06140000001</v>
      </c>
      <c r="R181" s="189"/>
    </row>
    <row r="182" spans="1:18" x14ac:dyDescent="0.2">
      <c r="A182" s="79" t="s">
        <v>45</v>
      </c>
      <c r="B182" s="82">
        <f t="shared" ref="B182:C182" si="56">+B30+B72+B114+B156</f>
        <v>2763095</v>
      </c>
      <c r="C182" s="82">
        <f t="shared" si="56"/>
        <v>551905</v>
      </c>
      <c r="D182" s="82">
        <f t="shared" si="40"/>
        <v>2211190</v>
      </c>
      <c r="E182" s="82">
        <f>+E30</f>
        <v>14891</v>
      </c>
      <c r="F182" s="82"/>
      <c r="G182" s="82">
        <f>+G30+G72+G114+G156</f>
        <v>1624550</v>
      </c>
      <c r="H182" s="82"/>
      <c r="I182" s="115">
        <v>1.012</v>
      </c>
      <c r="J182" s="82">
        <f t="shared" si="41"/>
        <v>2237724.2799999998</v>
      </c>
      <c r="K182" s="82">
        <f t="shared" si="42"/>
        <v>15069.692000000001</v>
      </c>
      <c r="L182" s="82">
        <f t="shared" si="43"/>
        <v>0</v>
      </c>
      <c r="M182" s="82">
        <f t="shared" si="44"/>
        <v>1644044.6</v>
      </c>
      <c r="N182" s="83">
        <f t="shared" si="45"/>
        <v>0</v>
      </c>
      <c r="P182" s="82">
        <f t="shared" si="47"/>
        <v>2796252.14</v>
      </c>
      <c r="Q182" s="82">
        <f t="shared" si="48"/>
        <v>131972.3517</v>
      </c>
      <c r="R182" s="189"/>
    </row>
    <row r="183" spans="1:18" x14ac:dyDescent="0.2">
      <c r="A183" s="79" t="s">
        <v>46</v>
      </c>
      <c r="B183" s="82">
        <f t="shared" ref="B183:C183" si="57">+B31+B73+B115+B157</f>
        <v>2703951</v>
      </c>
      <c r="C183" s="82">
        <f t="shared" si="57"/>
        <v>512576</v>
      </c>
      <c r="D183" s="82">
        <f t="shared" si="40"/>
        <v>2191375</v>
      </c>
      <c r="E183" s="82">
        <f>+E31</f>
        <v>17996</v>
      </c>
      <c r="F183" s="82"/>
      <c r="G183" s="82">
        <f>+G31+G73+G115+G157</f>
        <v>220150</v>
      </c>
      <c r="H183" s="82"/>
      <c r="I183" s="115">
        <v>1.0069999999999999</v>
      </c>
      <c r="J183" s="82">
        <f t="shared" si="41"/>
        <v>2206714.625</v>
      </c>
      <c r="K183" s="82">
        <f t="shared" si="42"/>
        <v>18121.971999999998</v>
      </c>
      <c r="L183" s="82">
        <f t="shared" si="43"/>
        <v>0</v>
      </c>
      <c r="M183" s="82">
        <f t="shared" si="44"/>
        <v>221691.05</v>
      </c>
      <c r="N183" s="83">
        <f t="shared" si="45"/>
        <v>0</v>
      </c>
      <c r="P183" s="82">
        <f t="shared" si="47"/>
        <v>2722878.6569999997</v>
      </c>
      <c r="Q183" s="82">
        <f t="shared" si="48"/>
        <v>129097.28039999999</v>
      </c>
    </row>
    <row r="184" spans="1:18" x14ac:dyDescent="0.2">
      <c r="A184" s="79" t="s">
        <v>47</v>
      </c>
      <c r="B184" s="82">
        <f t="shared" ref="B184:C184" si="58">+B32+B74+B116+B158</f>
        <v>3013731</v>
      </c>
      <c r="C184" s="82">
        <f t="shared" si="58"/>
        <v>580772</v>
      </c>
      <c r="D184" s="82">
        <f t="shared" si="40"/>
        <v>2432959</v>
      </c>
      <c r="E184" s="82">
        <f>+E32</f>
        <v>24309</v>
      </c>
      <c r="F184" s="82"/>
      <c r="G184" s="82">
        <f>+G32+G74+G116+G158</f>
        <v>220150</v>
      </c>
      <c r="H184" s="82"/>
      <c r="I184" s="115">
        <v>1</v>
      </c>
      <c r="J184" s="82">
        <f t="shared" si="41"/>
        <v>2432959</v>
      </c>
      <c r="K184" s="82">
        <f t="shared" si="42"/>
        <v>24309</v>
      </c>
      <c r="L184" s="82">
        <f t="shared" si="43"/>
        <v>0</v>
      </c>
      <c r="M184" s="82">
        <f t="shared" si="44"/>
        <v>220150</v>
      </c>
      <c r="N184" s="83">
        <f t="shared" si="45"/>
        <v>0</v>
      </c>
      <c r="P184" s="82">
        <f t="shared" si="47"/>
        <v>3013731</v>
      </c>
      <c r="Q184" s="82">
        <f t="shared" si="48"/>
        <v>143873.08680000002</v>
      </c>
    </row>
    <row r="185" spans="1:18" x14ac:dyDescent="0.2">
      <c r="A185" s="79"/>
      <c r="B185" s="82"/>
      <c r="C185" s="82"/>
      <c r="D185" s="82">
        <f t="shared" ref="D185" si="59">+B185-C185</f>
        <v>0</v>
      </c>
      <c r="E185" s="82"/>
      <c r="F185" s="112"/>
      <c r="G185" s="82"/>
      <c r="H185" s="82"/>
      <c r="I185" s="85"/>
      <c r="J185" s="82"/>
      <c r="K185" s="82"/>
      <c r="L185" s="82"/>
      <c r="M185" s="82"/>
      <c r="N185" s="83"/>
      <c r="P185" s="82">
        <f t="shared" si="47"/>
        <v>0</v>
      </c>
      <c r="Q185" s="82">
        <f t="shared" si="47"/>
        <v>0</v>
      </c>
    </row>
    <row r="186" spans="1:18" ht="15.75" x14ac:dyDescent="0.25">
      <c r="A186" s="86" t="s">
        <v>142</v>
      </c>
      <c r="B186" s="87">
        <f>SUM(B173:B184)</f>
        <v>34356210</v>
      </c>
      <c r="C186" s="87">
        <f t="shared" ref="C186:N186" si="60">SUM(C173:C184)</f>
        <v>6620718</v>
      </c>
      <c r="D186" s="87">
        <f t="shared" si="60"/>
        <v>27735492</v>
      </c>
      <c r="E186" s="87">
        <f t="shared" si="60"/>
        <v>205178</v>
      </c>
      <c r="F186" s="87">
        <f t="shared" si="60"/>
        <v>0</v>
      </c>
      <c r="G186" s="87">
        <f t="shared" si="60"/>
        <v>4077033</v>
      </c>
      <c r="H186" s="87">
        <f t="shared" si="60"/>
        <v>0</v>
      </c>
      <c r="I186" s="87"/>
      <c r="J186" s="87">
        <f t="shared" si="60"/>
        <v>28348095.651999999</v>
      </c>
      <c r="K186" s="87">
        <f t="shared" si="60"/>
        <v>209750.89700000003</v>
      </c>
      <c r="L186" s="87">
        <f t="shared" si="60"/>
        <v>0</v>
      </c>
      <c r="M186" s="87">
        <f t="shared" si="60"/>
        <v>4153474.9119999995</v>
      </c>
      <c r="N186" s="87">
        <f t="shared" si="60"/>
        <v>0</v>
      </c>
      <c r="P186" s="87">
        <f>SUM(P173:P184)</f>
        <v>35114716.879000001</v>
      </c>
      <c r="Q186" s="87">
        <f>SUM(Q173:Q184)</f>
        <v>1700313.2666</v>
      </c>
    </row>
    <row r="187" spans="1:18" ht="15.75" x14ac:dyDescent="0.25">
      <c r="A187" s="66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90"/>
    </row>
    <row r="188" spans="1:18" x14ac:dyDescent="0.2">
      <c r="A188" s="91" t="s">
        <v>143</v>
      </c>
      <c r="B188" s="52"/>
      <c r="C188" s="52"/>
      <c r="D188" s="52"/>
      <c r="E188" s="52"/>
      <c r="F188" s="52"/>
      <c r="G188" s="92" t="s">
        <v>144</v>
      </c>
      <c r="H188" s="52"/>
      <c r="I188" s="52"/>
      <c r="J188" s="52"/>
      <c r="K188" s="52"/>
      <c r="L188" s="52"/>
      <c r="M188" s="52"/>
      <c r="N188" s="53"/>
      <c r="P188" s="111"/>
    </row>
    <row r="189" spans="1:18" x14ac:dyDescent="0.2">
      <c r="A189" s="57" t="s">
        <v>145</v>
      </c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3"/>
    </row>
    <row r="190" spans="1:18" x14ac:dyDescent="0.2">
      <c r="A190" s="57"/>
      <c r="B190" s="52"/>
      <c r="C190" s="52"/>
      <c r="D190" s="65"/>
      <c r="E190" s="52"/>
      <c r="F190" s="52"/>
      <c r="G190" s="52"/>
      <c r="H190" s="52"/>
      <c r="I190" s="52"/>
      <c r="J190" s="52"/>
      <c r="K190" s="52"/>
      <c r="L190" s="52"/>
      <c r="M190" s="52"/>
      <c r="N190" s="53"/>
      <c r="P190" s="111"/>
      <c r="Q190" s="111"/>
    </row>
    <row r="191" spans="1:18" ht="15.75" x14ac:dyDescent="0.25">
      <c r="A191" s="57"/>
      <c r="B191" s="52"/>
      <c r="C191" s="52"/>
      <c r="D191" s="52"/>
      <c r="E191" s="52"/>
      <c r="F191" s="52"/>
      <c r="G191" s="52"/>
      <c r="H191" s="52"/>
      <c r="I191" s="52"/>
      <c r="J191" s="116"/>
      <c r="K191" s="51"/>
      <c r="L191" s="51"/>
      <c r="M191" s="51"/>
      <c r="N191" s="53"/>
    </row>
    <row r="192" spans="1:18" ht="15.75" x14ac:dyDescent="0.25">
      <c r="A192" s="57"/>
      <c r="B192" s="52"/>
      <c r="C192" s="52"/>
      <c r="D192" s="52"/>
      <c r="E192" s="52"/>
      <c r="F192" s="52"/>
      <c r="G192" s="52"/>
      <c r="H192" s="52"/>
      <c r="I192" s="52"/>
      <c r="J192" s="60"/>
      <c r="K192" s="51"/>
      <c r="L192" s="51"/>
      <c r="M192" s="51"/>
      <c r="N192" s="53"/>
    </row>
    <row r="193" spans="1:14" ht="15.75" x14ac:dyDescent="0.25">
      <c r="A193" s="57"/>
      <c r="B193" s="52"/>
      <c r="C193" s="52"/>
      <c r="D193" s="52"/>
      <c r="E193" s="52"/>
      <c r="F193" s="52"/>
      <c r="G193" s="52"/>
      <c r="H193" s="52"/>
      <c r="I193" s="52"/>
      <c r="J193" s="60"/>
      <c r="K193" s="95"/>
      <c r="L193" s="51"/>
      <c r="M193" s="95"/>
      <c r="N193" s="53"/>
    </row>
    <row r="194" spans="1:14" ht="15.75" thickBot="1" x14ac:dyDescent="0.25">
      <c r="A194" s="96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8"/>
    </row>
    <row r="196" spans="1:14" x14ac:dyDescent="0.2">
      <c r="B196" s="113"/>
    </row>
    <row r="197" spans="1:14" x14ac:dyDescent="0.2">
      <c r="B197" s="113"/>
    </row>
    <row r="198" spans="1:14" x14ac:dyDescent="0.2">
      <c r="B198" s="113"/>
    </row>
    <row r="199" spans="1:14" x14ac:dyDescent="0.2">
      <c r="B199" s="113"/>
    </row>
    <row r="200" spans="1:14" x14ac:dyDescent="0.2">
      <c r="B200" s="113"/>
    </row>
    <row r="201" spans="1:14" x14ac:dyDescent="0.2">
      <c r="B201" s="113"/>
    </row>
    <row r="202" spans="1:14" x14ac:dyDescent="0.2">
      <c r="B202" s="113"/>
    </row>
  </sheetData>
  <sheetProtection selectLockedCells="1" selectUnlockedCells="1"/>
  <mergeCells count="6">
    <mergeCell ref="J142:N142"/>
    <mergeCell ref="C2:E2"/>
    <mergeCell ref="J16:N16"/>
    <mergeCell ref="L39:N39"/>
    <mergeCell ref="J58:N58"/>
    <mergeCell ref="J100:N100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BL125"/>
  <sheetViews>
    <sheetView showGridLines="0" topLeftCell="A25" workbookViewId="0">
      <selection activeCell="AE32" sqref="AE32:AF32"/>
    </sheetView>
  </sheetViews>
  <sheetFormatPr baseColWidth="10" defaultColWidth="5.7109375" defaultRowHeight="11.25" x14ac:dyDescent="0.2"/>
  <cols>
    <col min="1" max="1" width="5.7109375" style="1"/>
    <col min="2" max="30" width="5.5703125" style="1" customWidth="1"/>
    <col min="31" max="32" width="5.28515625" style="1" customWidth="1"/>
    <col min="33" max="34" width="6.7109375" style="1" customWidth="1"/>
    <col min="35" max="61" width="6.140625" style="1" customWidth="1"/>
    <col min="62" max="16384" width="5.7109375" style="1"/>
  </cols>
  <sheetData>
    <row r="3" spans="2:38" ht="12.75" x14ac:dyDescent="0.2">
      <c r="AG3" s="2"/>
      <c r="AH3" s="2"/>
      <c r="AI3" s="139" t="s">
        <v>0</v>
      </c>
      <c r="AJ3" s="139"/>
    </row>
    <row r="4" spans="2:38" ht="12" customHeight="1" x14ac:dyDescent="0.2">
      <c r="AG4" s="140" t="s">
        <v>1</v>
      </c>
      <c r="AH4" s="140"/>
      <c r="AI4" s="141"/>
      <c r="AJ4" s="141"/>
    </row>
    <row r="5" spans="2:38" ht="12" customHeight="1" x14ac:dyDescent="0.2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K5" s="4"/>
      <c r="AL5" s="4"/>
    </row>
    <row r="6" spans="2:38" s="24" customFormat="1" ht="19.5" customHeight="1" x14ac:dyDescent="0.2">
      <c r="B6" s="142" t="s">
        <v>64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23"/>
    </row>
    <row r="7" spans="2:38" ht="8.2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K7" s="5"/>
    </row>
    <row r="8" spans="2:38" ht="8.25" customHeight="1" x14ac:dyDescent="0.2">
      <c r="G8" s="7"/>
      <c r="O8" s="4"/>
      <c r="P8" s="4"/>
      <c r="Q8" s="4"/>
      <c r="R8" s="4"/>
      <c r="T8" s="8"/>
      <c r="AC8" s="5"/>
      <c r="AK8" s="5"/>
    </row>
    <row r="9" spans="2:38" ht="12" customHeight="1" x14ac:dyDescent="0.2">
      <c r="C9" s="9" t="s">
        <v>2</v>
      </c>
    </row>
    <row r="10" spans="2:38" ht="12" customHeight="1" x14ac:dyDescent="0.2">
      <c r="C10" s="134" t="s">
        <v>3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5" t="s">
        <v>4</v>
      </c>
      <c r="T10" s="123"/>
      <c r="U10" s="123"/>
      <c r="V10" s="123"/>
      <c r="W10" s="123"/>
      <c r="X10" s="123"/>
      <c r="Y10" s="123"/>
      <c r="Z10" s="123"/>
      <c r="AA10" s="123"/>
      <c r="AB10" s="124"/>
    </row>
    <row r="11" spans="2:38" ht="12" customHeight="1" x14ac:dyDescent="0.2">
      <c r="C11" s="135" t="str">
        <f>+'certificado sueldo'!C3</f>
        <v>76.999-666-9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4"/>
      <c r="S11" s="135" t="s">
        <v>152</v>
      </c>
      <c r="T11" s="123"/>
      <c r="U11" s="123"/>
      <c r="V11" s="123"/>
      <c r="W11" s="123"/>
      <c r="X11" s="123"/>
      <c r="Y11" s="123"/>
      <c r="Z11" s="123"/>
      <c r="AA11" s="123"/>
      <c r="AB11" s="124"/>
    </row>
    <row r="12" spans="2:38" ht="12" customHeight="1" x14ac:dyDescent="0.2">
      <c r="C12" s="135" t="s">
        <v>5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  <c r="S12" s="135" t="s">
        <v>6</v>
      </c>
      <c r="T12" s="123"/>
      <c r="U12" s="123"/>
      <c r="V12" s="123"/>
      <c r="W12" s="123"/>
      <c r="X12" s="123"/>
      <c r="Y12" s="123"/>
      <c r="Z12" s="123"/>
      <c r="AA12" s="123"/>
      <c r="AB12" s="124"/>
    </row>
    <row r="13" spans="2:38" ht="12" customHeight="1" x14ac:dyDescent="0.2">
      <c r="C13" s="135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4"/>
      <c r="S13" s="135"/>
      <c r="T13" s="123"/>
      <c r="U13" s="123"/>
      <c r="V13" s="123"/>
      <c r="W13" s="123"/>
      <c r="X13" s="123"/>
      <c r="Y13" s="123"/>
      <c r="Z13" s="123"/>
      <c r="AA13" s="123"/>
      <c r="AB13" s="124"/>
    </row>
    <row r="14" spans="2:38" ht="12" customHeight="1" x14ac:dyDescent="0.2">
      <c r="C14" s="135" t="s">
        <v>7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4"/>
      <c r="S14" s="135" t="s">
        <v>8</v>
      </c>
      <c r="T14" s="123"/>
      <c r="U14" s="123"/>
      <c r="V14" s="123"/>
      <c r="W14" s="123"/>
      <c r="X14" s="123"/>
      <c r="Y14" s="123"/>
      <c r="Z14" s="123"/>
      <c r="AA14" s="123"/>
      <c r="AB14" s="124"/>
    </row>
    <row r="15" spans="2:38" ht="12" customHeight="1" x14ac:dyDescent="0.2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35"/>
      <c r="T15" s="123"/>
      <c r="U15" s="123"/>
      <c r="V15" s="123"/>
      <c r="W15" s="123"/>
      <c r="X15" s="123"/>
      <c r="Y15" s="123"/>
      <c r="Z15" s="123"/>
      <c r="AA15" s="123"/>
      <c r="AB15" s="124"/>
    </row>
    <row r="16" spans="2:38" ht="12" customHeight="1" x14ac:dyDescent="0.2">
      <c r="C16" s="135" t="s">
        <v>9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4"/>
      <c r="S16" s="143">
        <v>2028</v>
      </c>
      <c r="T16" s="144"/>
      <c r="U16" s="144"/>
      <c r="V16" s="144"/>
      <c r="W16" s="144"/>
      <c r="X16" s="144"/>
      <c r="Y16" s="144"/>
      <c r="Z16" s="144"/>
      <c r="AA16" s="144"/>
      <c r="AB16" s="145"/>
    </row>
    <row r="17" spans="3:64" ht="12" customHeight="1" x14ac:dyDescent="0.2"/>
    <row r="18" spans="3:64" ht="12" customHeight="1" x14ac:dyDescent="0.2"/>
    <row r="19" spans="3:64" x14ac:dyDescent="0.2">
      <c r="C19" s="9" t="s">
        <v>10</v>
      </c>
    </row>
    <row r="20" spans="3:64" ht="23.25" customHeight="1" x14ac:dyDescent="0.2">
      <c r="C20" s="146" t="s">
        <v>11</v>
      </c>
      <c r="D20" s="149" t="s">
        <v>65</v>
      </c>
      <c r="E20" s="150"/>
      <c r="F20" s="150"/>
      <c r="G20" s="155" t="s">
        <v>12</v>
      </c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7"/>
      <c r="X20" s="158" t="s">
        <v>13</v>
      </c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60"/>
      <c r="AJ20" s="146" t="s">
        <v>14</v>
      </c>
      <c r="AK20" s="161"/>
      <c r="AL20" s="162"/>
      <c r="AM20" s="158" t="s">
        <v>15</v>
      </c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60"/>
      <c r="BK20" s="149" t="s">
        <v>16</v>
      </c>
      <c r="BL20" s="169"/>
    </row>
    <row r="21" spans="3:64" ht="28.5" customHeight="1" x14ac:dyDescent="0.2">
      <c r="C21" s="147"/>
      <c r="D21" s="151"/>
      <c r="E21" s="152"/>
      <c r="F21" s="152"/>
      <c r="G21" s="146" t="s">
        <v>17</v>
      </c>
      <c r="H21" s="161"/>
      <c r="I21" s="161"/>
      <c r="J21" s="146" t="s">
        <v>18</v>
      </c>
      <c r="K21" s="161"/>
      <c r="L21" s="161"/>
      <c r="M21" s="146" t="s">
        <v>19</v>
      </c>
      <c r="N21" s="161"/>
      <c r="O21" s="161"/>
      <c r="P21" s="146" t="s">
        <v>20</v>
      </c>
      <c r="Q21" s="162"/>
      <c r="R21" s="161" t="s">
        <v>21</v>
      </c>
      <c r="S21" s="161"/>
      <c r="T21" s="172" t="s">
        <v>22</v>
      </c>
      <c r="U21" s="172"/>
      <c r="V21" s="146" t="s">
        <v>23</v>
      </c>
      <c r="W21" s="162"/>
      <c r="X21" s="167" t="s">
        <v>24</v>
      </c>
      <c r="Y21" s="167" t="s">
        <v>25</v>
      </c>
      <c r="Z21" s="167" t="s">
        <v>26</v>
      </c>
      <c r="AA21" s="167" t="s">
        <v>27</v>
      </c>
      <c r="AB21" s="167" t="s">
        <v>28</v>
      </c>
      <c r="AC21" s="167" t="s">
        <v>29</v>
      </c>
      <c r="AD21" s="167" t="s">
        <v>30</v>
      </c>
      <c r="AE21" s="167" t="s">
        <v>31</v>
      </c>
      <c r="AF21" s="167" t="s">
        <v>32</v>
      </c>
      <c r="AG21" s="167" t="s">
        <v>33</v>
      </c>
      <c r="AH21" s="167" t="s">
        <v>34</v>
      </c>
      <c r="AI21" s="167" t="s">
        <v>35</v>
      </c>
      <c r="AJ21" s="147"/>
      <c r="AK21" s="163"/>
      <c r="AL21" s="164"/>
      <c r="AM21" s="146" t="s">
        <v>36</v>
      </c>
      <c r="AN21" s="162"/>
      <c r="AO21" s="146" t="s">
        <v>37</v>
      </c>
      <c r="AP21" s="162"/>
      <c r="AQ21" s="146" t="s">
        <v>38</v>
      </c>
      <c r="AR21" s="162"/>
      <c r="AS21" s="146" t="s">
        <v>39</v>
      </c>
      <c r="AT21" s="162"/>
      <c r="AU21" s="146" t="s">
        <v>40</v>
      </c>
      <c r="AV21" s="162"/>
      <c r="AW21" s="146" t="s">
        <v>41</v>
      </c>
      <c r="AX21" s="162"/>
      <c r="AY21" s="146" t="s">
        <v>42</v>
      </c>
      <c r="AZ21" s="162"/>
      <c r="BA21" s="146" t="s">
        <v>43</v>
      </c>
      <c r="BB21" s="162"/>
      <c r="BC21" s="146" t="s">
        <v>44</v>
      </c>
      <c r="BD21" s="162"/>
      <c r="BE21" s="146" t="s">
        <v>45</v>
      </c>
      <c r="BF21" s="162"/>
      <c r="BG21" s="146" t="s">
        <v>46</v>
      </c>
      <c r="BH21" s="162"/>
      <c r="BI21" s="146" t="s">
        <v>47</v>
      </c>
      <c r="BJ21" s="162"/>
      <c r="BK21" s="151"/>
      <c r="BL21" s="170"/>
    </row>
    <row r="22" spans="3:64" ht="26.25" customHeight="1" x14ac:dyDescent="0.2">
      <c r="C22" s="148"/>
      <c r="D22" s="153"/>
      <c r="E22" s="154"/>
      <c r="F22" s="154"/>
      <c r="G22" s="148"/>
      <c r="H22" s="165"/>
      <c r="I22" s="165"/>
      <c r="J22" s="148"/>
      <c r="K22" s="165"/>
      <c r="L22" s="165"/>
      <c r="M22" s="148"/>
      <c r="N22" s="165"/>
      <c r="O22" s="165"/>
      <c r="P22" s="148"/>
      <c r="Q22" s="166"/>
      <c r="R22" s="165"/>
      <c r="S22" s="165"/>
      <c r="T22" s="172"/>
      <c r="U22" s="172"/>
      <c r="V22" s="148"/>
      <c r="W22" s="166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48"/>
      <c r="AK22" s="165"/>
      <c r="AL22" s="166"/>
      <c r="AM22" s="148"/>
      <c r="AN22" s="166"/>
      <c r="AO22" s="148"/>
      <c r="AP22" s="166"/>
      <c r="AQ22" s="148"/>
      <c r="AR22" s="166"/>
      <c r="AS22" s="148"/>
      <c r="AT22" s="166"/>
      <c r="AU22" s="148"/>
      <c r="AV22" s="166"/>
      <c r="AW22" s="148"/>
      <c r="AX22" s="166"/>
      <c r="AY22" s="148"/>
      <c r="AZ22" s="166"/>
      <c r="BA22" s="148"/>
      <c r="BB22" s="166"/>
      <c r="BC22" s="148"/>
      <c r="BD22" s="166"/>
      <c r="BE22" s="148"/>
      <c r="BF22" s="166"/>
      <c r="BG22" s="148"/>
      <c r="BH22" s="166"/>
      <c r="BI22" s="148"/>
      <c r="BJ22" s="166"/>
      <c r="BK22" s="153"/>
      <c r="BL22" s="171"/>
    </row>
    <row r="23" spans="3:64" ht="12.75" x14ac:dyDescent="0.25">
      <c r="C23" s="10" t="s">
        <v>48</v>
      </c>
      <c r="D23" s="122" t="str">
        <f>+'certificado sueldo'!B14</f>
        <v>10.668.874-3</v>
      </c>
      <c r="E23" s="123"/>
      <c r="F23" s="124"/>
      <c r="G23" s="125">
        <f>+'certificado sueldo'!J34</f>
        <v>14880089.466999998</v>
      </c>
      <c r="H23" s="126"/>
      <c r="I23" s="127"/>
      <c r="J23" s="128">
        <f>+'certificado sueldo'!K34</f>
        <v>209750.89700000003</v>
      </c>
      <c r="K23" s="129"/>
      <c r="L23" s="130"/>
      <c r="M23" s="131"/>
      <c r="N23" s="132"/>
      <c r="O23" s="133"/>
      <c r="P23" s="131">
        <f>+'certificado sueldo'!M34</f>
        <v>2454200</v>
      </c>
      <c r="Q23" s="133"/>
      <c r="R23" s="120"/>
      <c r="S23" s="120"/>
      <c r="T23" s="134"/>
      <c r="U23" s="134"/>
      <c r="V23" s="135"/>
      <c r="W23" s="124"/>
      <c r="X23" s="13" t="s">
        <v>180</v>
      </c>
      <c r="Y23" s="13" t="s">
        <v>180</v>
      </c>
      <c r="Z23" s="13" t="s">
        <v>180</v>
      </c>
      <c r="AA23" s="13" t="s">
        <v>180</v>
      </c>
      <c r="AB23" s="13" t="s">
        <v>180</v>
      </c>
      <c r="AC23" s="13" t="s">
        <v>180</v>
      </c>
      <c r="AD23" s="13" t="s">
        <v>180</v>
      </c>
      <c r="AE23" s="13" t="s">
        <v>180</v>
      </c>
      <c r="AF23" s="13" t="s">
        <v>180</v>
      </c>
      <c r="AG23" s="13" t="s">
        <v>180</v>
      </c>
      <c r="AH23" s="13" t="s">
        <v>180</v>
      </c>
      <c r="AI23" s="13" t="s">
        <v>180</v>
      </c>
      <c r="AJ23" s="136">
        <v>1</v>
      </c>
      <c r="AK23" s="137"/>
      <c r="AL23" s="138"/>
      <c r="AM23" s="120">
        <f>+'certificado sueldo'!D21</f>
        <v>1263009</v>
      </c>
      <c r="AN23" s="120"/>
      <c r="AO23" s="120">
        <f>+'certificado sueldo'!D22</f>
        <v>1257401</v>
      </c>
      <c r="AP23" s="120"/>
      <c r="AQ23" s="120">
        <f>+'certificado sueldo'!D23</f>
        <v>1095067</v>
      </c>
      <c r="AR23" s="120"/>
      <c r="AS23" s="120">
        <f>+'certificado sueldo'!D24</f>
        <v>1092094</v>
      </c>
      <c r="AT23" s="120"/>
      <c r="AU23" s="120">
        <f>+'certificado sueldo'!D25</f>
        <v>1134397</v>
      </c>
      <c r="AV23" s="120"/>
      <c r="AW23" s="120">
        <f>+'certificado sueldo'!D26</f>
        <v>1113548</v>
      </c>
      <c r="AX23" s="120"/>
      <c r="AY23" s="120">
        <f>+'certificado sueldo'!D27</f>
        <v>1370595</v>
      </c>
      <c r="AZ23" s="120"/>
      <c r="BA23" s="120">
        <f>+'certificado sueldo'!D28</f>
        <v>1098471</v>
      </c>
      <c r="BB23" s="120"/>
      <c r="BC23" s="120">
        <f>+'certificado sueldo'!D29</f>
        <v>1230420</v>
      </c>
      <c r="BD23" s="120"/>
      <c r="BE23" s="120">
        <f>+'certificado sueldo'!D30</f>
        <v>1193786</v>
      </c>
      <c r="BF23" s="120"/>
      <c r="BG23" s="120">
        <f>+'certificado sueldo'!D31</f>
        <v>1275514</v>
      </c>
      <c r="BH23" s="120"/>
      <c r="BI23" s="120">
        <f>+'certificado sueldo'!D32</f>
        <v>1432802</v>
      </c>
      <c r="BJ23" s="120"/>
      <c r="BK23" s="121">
        <v>45</v>
      </c>
      <c r="BL23" s="121"/>
    </row>
    <row r="24" spans="3:64" ht="12.75" x14ac:dyDescent="0.25">
      <c r="C24" s="25" t="s">
        <v>48</v>
      </c>
      <c r="D24" s="122" t="str">
        <f>+'certificado sueldo'!B56</f>
        <v>13.690.218-4</v>
      </c>
      <c r="E24" s="123"/>
      <c r="F24" s="124"/>
      <c r="G24" s="125">
        <f>+'certificado sueldo'!J76</f>
        <v>4282588.902999999</v>
      </c>
      <c r="H24" s="126"/>
      <c r="I24" s="127"/>
      <c r="J24" s="128"/>
      <c r="K24" s="129"/>
      <c r="L24" s="130"/>
      <c r="M24" s="131"/>
      <c r="N24" s="132"/>
      <c r="O24" s="133"/>
      <c r="P24" s="131">
        <f>+'certificado sueldo'!M76</f>
        <v>1507697.7280000001</v>
      </c>
      <c r="Q24" s="133"/>
      <c r="R24" s="120"/>
      <c r="S24" s="120"/>
      <c r="T24" s="134"/>
      <c r="U24" s="134"/>
      <c r="V24" s="135"/>
      <c r="W24" s="124"/>
      <c r="X24" s="13" t="s">
        <v>180</v>
      </c>
      <c r="Y24" s="13" t="s">
        <v>180</v>
      </c>
      <c r="Z24" s="13" t="s">
        <v>180</v>
      </c>
      <c r="AA24" s="13" t="s">
        <v>180</v>
      </c>
      <c r="AB24" s="13" t="s">
        <v>180</v>
      </c>
      <c r="AC24" s="13" t="s">
        <v>180</v>
      </c>
      <c r="AD24" s="13" t="s">
        <v>180</v>
      </c>
      <c r="AE24" s="13" t="s">
        <v>180</v>
      </c>
      <c r="AF24" s="13" t="s">
        <v>180</v>
      </c>
      <c r="AG24" s="13"/>
      <c r="AH24" s="13"/>
      <c r="AI24" s="13"/>
      <c r="AJ24" s="136">
        <v>2</v>
      </c>
      <c r="AK24" s="137"/>
      <c r="AL24" s="138"/>
      <c r="AM24" s="120">
        <f>+'certificado sueldo'!D63</f>
        <v>445488</v>
      </c>
      <c r="AN24" s="120"/>
      <c r="AO24" s="120">
        <f>+'certificado sueldo'!D64</f>
        <v>416646</v>
      </c>
      <c r="AP24" s="120"/>
      <c r="AQ24" s="120">
        <f>+'certificado sueldo'!D65</f>
        <v>416646</v>
      </c>
      <c r="AR24" s="120"/>
      <c r="AS24" s="120">
        <f>+'certificado sueldo'!D66</f>
        <v>469512</v>
      </c>
      <c r="AT24" s="120"/>
      <c r="AU24" s="120">
        <f>+'certificado sueldo'!D67</f>
        <v>474328</v>
      </c>
      <c r="AV24" s="120"/>
      <c r="AW24" s="120">
        <f>+AU24</f>
        <v>474328</v>
      </c>
      <c r="AX24" s="120"/>
      <c r="AY24" s="120">
        <f>+'certificado sueldo'!D69</f>
        <v>445488</v>
      </c>
      <c r="AZ24" s="120"/>
      <c r="BA24" s="120">
        <f>+'certificado sueldo'!D70</f>
        <v>445488</v>
      </c>
      <c r="BB24" s="120"/>
      <c r="BC24" s="120">
        <f>+'certificado sueldo'!D71</f>
        <v>580057</v>
      </c>
      <c r="BD24" s="120"/>
      <c r="BE24" s="120"/>
      <c r="BF24" s="120"/>
      <c r="BG24" s="120"/>
      <c r="BH24" s="120"/>
      <c r="BI24" s="120"/>
      <c r="BJ24" s="120"/>
      <c r="BK24" s="121">
        <v>45</v>
      </c>
      <c r="BL24" s="121"/>
    </row>
    <row r="25" spans="3:64" ht="12.75" x14ac:dyDescent="0.25">
      <c r="C25" s="25" t="s">
        <v>48</v>
      </c>
      <c r="D25" s="122" t="str">
        <f>+'certificado sueldo'!B98</f>
        <v>18.510.112-4</v>
      </c>
      <c r="E25" s="123"/>
      <c r="F25" s="124"/>
      <c r="G25" s="125">
        <f>+'certificado sueldo'!J118</f>
        <v>6182739.9910000004</v>
      </c>
      <c r="H25" s="126"/>
      <c r="I25" s="127"/>
      <c r="J25" s="128"/>
      <c r="K25" s="129"/>
      <c r="L25" s="130"/>
      <c r="M25" s="131"/>
      <c r="N25" s="132"/>
      <c r="O25" s="133"/>
      <c r="P25" s="131"/>
      <c r="Q25" s="133"/>
      <c r="R25" s="120"/>
      <c r="S25" s="120"/>
      <c r="T25" s="134"/>
      <c r="U25" s="134"/>
      <c r="V25" s="135"/>
      <c r="W25" s="124"/>
      <c r="X25" s="13" t="s">
        <v>180</v>
      </c>
      <c r="Y25" s="13" t="s">
        <v>180</v>
      </c>
      <c r="Z25" s="13" t="s">
        <v>180</v>
      </c>
      <c r="AA25" s="13"/>
      <c r="AB25" s="13" t="s">
        <v>180</v>
      </c>
      <c r="AC25" s="13" t="s">
        <v>180</v>
      </c>
      <c r="AD25" s="13" t="s">
        <v>180</v>
      </c>
      <c r="AE25" s="13" t="s">
        <v>180</v>
      </c>
      <c r="AF25" s="13" t="s">
        <v>180</v>
      </c>
      <c r="AG25" s="13" t="s">
        <v>180</v>
      </c>
      <c r="AH25" s="13" t="s">
        <v>180</v>
      </c>
      <c r="AI25" s="13" t="s">
        <v>180</v>
      </c>
      <c r="AJ25" s="136">
        <v>3</v>
      </c>
      <c r="AK25" s="137"/>
      <c r="AL25" s="138"/>
      <c r="AM25" s="120">
        <f>+'certificado sueldo'!D105</f>
        <v>517768</v>
      </c>
      <c r="AN25" s="120"/>
      <c r="AO25" s="120">
        <f>+'certificado sueldo'!D106</f>
        <v>483643</v>
      </c>
      <c r="AP25" s="120"/>
      <c r="AQ25" s="120">
        <f>+'certificado sueldo'!D107</f>
        <v>489848</v>
      </c>
      <c r="AR25" s="120"/>
      <c r="AS25" s="120"/>
      <c r="AT25" s="120"/>
      <c r="AU25" s="120">
        <f>+'certificado sueldo'!D109</f>
        <v>551289</v>
      </c>
      <c r="AV25" s="120"/>
      <c r="AW25" s="120">
        <f>+AU25</f>
        <v>551289</v>
      </c>
      <c r="AX25" s="120"/>
      <c r="AY25" s="120">
        <f>+'certificado sueldo'!D111</f>
        <v>517768</v>
      </c>
      <c r="AZ25" s="120"/>
      <c r="BA25" s="120">
        <f>+'certificado sueldo'!D112</f>
        <v>484248</v>
      </c>
      <c r="BB25" s="120"/>
      <c r="BC25" s="120">
        <f>+'certificado sueldo'!D113</f>
        <v>630510</v>
      </c>
      <c r="BD25" s="120"/>
      <c r="BE25" s="120">
        <f>+'certificado sueldo'!D114</f>
        <v>551289</v>
      </c>
      <c r="BF25" s="120"/>
      <c r="BG25" s="120">
        <f>+'certificado sueldo'!D115</f>
        <v>595211</v>
      </c>
      <c r="BH25" s="120"/>
      <c r="BI25" s="120">
        <f>+'certificado sueldo'!D116</f>
        <v>681395</v>
      </c>
      <c r="BJ25" s="120"/>
      <c r="BK25" s="121">
        <v>45</v>
      </c>
      <c r="BL25" s="121"/>
    </row>
    <row r="26" spans="3:64" ht="12.75" x14ac:dyDescent="0.25">
      <c r="C26" s="25" t="s">
        <v>48</v>
      </c>
      <c r="D26" s="122" t="str">
        <f>+'certificado sueldo'!B140</f>
        <v>16.756.222-7</v>
      </c>
      <c r="E26" s="123"/>
      <c r="F26" s="124"/>
      <c r="G26" s="125">
        <f>+'certificado sueldo'!J160</f>
        <v>3002677.2909999997</v>
      </c>
      <c r="H26" s="126"/>
      <c r="I26" s="127"/>
      <c r="J26" s="128"/>
      <c r="K26" s="129"/>
      <c r="L26" s="130"/>
      <c r="M26" s="131"/>
      <c r="N26" s="132"/>
      <c r="O26" s="133"/>
      <c r="P26" s="131">
        <f>+'certificado sueldo'!M160</f>
        <v>191577.18399999998</v>
      </c>
      <c r="Q26" s="133"/>
      <c r="R26" s="120"/>
      <c r="S26" s="120"/>
      <c r="T26" s="134"/>
      <c r="U26" s="134"/>
      <c r="V26" s="135"/>
      <c r="W26" s="124"/>
      <c r="X26" s="13"/>
      <c r="Y26" s="13"/>
      <c r="Z26" s="13"/>
      <c r="AA26" s="13"/>
      <c r="AB26" s="13"/>
      <c r="AC26" s="13" t="s">
        <v>180</v>
      </c>
      <c r="AD26" s="13" t="s">
        <v>180</v>
      </c>
      <c r="AE26" s="13" t="s">
        <v>180</v>
      </c>
      <c r="AF26" s="13" t="s">
        <v>180</v>
      </c>
      <c r="AG26" s="13" t="s">
        <v>180</v>
      </c>
      <c r="AH26" s="13" t="s">
        <v>180</v>
      </c>
      <c r="AI26" s="13" t="s">
        <v>180</v>
      </c>
      <c r="AJ26" s="136">
        <v>4</v>
      </c>
      <c r="AK26" s="137"/>
      <c r="AL26" s="138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>
        <f>+'certificado sueldo'!D152</f>
        <v>432697</v>
      </c>
      <c r="AX26" s="120"/>
      <c r="AY26" s="120">
        <f>+'certificado sueldo'!D153</f>
        <v>447047</v>
      </c>
      <c r="AZ26" s="120"/>
      <c r="BA26" s="120">
        <f>+'certificado sueldo'!D154</f>
        <v>442264</v>
      </c>
      <c r="BB26" s="120"/>
      <c r="BC26" s="120">
        <f>+'certificado sueldo'!D155</f>
        <v>528614</v>
      </c>
      <c r="BD26" s="120"/>
      <c r="BE26" s="120">
        <f>+'certificado sueldo'!D156</f>
        <v>466115</v>
      </c>
      <c r="BF26" s="120"/>
      <c r="BG26" s="120">
        <f>+'certificado sueldo'!D157</f>
        <v>320650</v>
      </c>
      <c r="BH26" s="120"/>
      <c r="BI26" s="120">
        <f>+'certificado sueldo'!D158</f>
        <v>318762</v>
      </c>
      <c r="BJ26" s="120"/>
      <c r="BK26" s="121">
        <v>45</v>
      </c>
      <c r="BL26" s="121"/>
    </row>
    <row r="27" spans="3:64" ht="46.5" customHeight="1" x14ac:dyDescent="0.2">
      <c r="C27" s="5"/>
      <c r="D27" s="14"/>
      <c r="E27" s="14"/>
      <c r="F27" s="14"/>
      <c r="G27" s="14"/>
      <c r="H27" s="14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4"/>
      <c r="U27" s="14"/>
      <c r="V27" s="173"/>
      <c r="W27" s="173"/>
      <c r="X27" s="14"/>
      <c r="Y27" s="14"/>
      <c r="Z27" s="17"/>
      <c r="AA27" s="17"/>
      <c r="AB27" s="17"/>
      <c r="AC27" s="17"/>
      <c r="AD27" s="17"/>
      <c r="AE27" s="17"/>
      <c r="AF27" s="17"/>
      <c r="BK27" s="174"/>
      <c r="BL27" s="174"/>
    </row>
    <row r="28" spans="3:64" s="18" customFormat="1" ht="21" customHeight="1" x14ac:dyDescent="0.25">
      <c r="C28" s="175" t="s">
        <v>49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46" t="s">
        <v>50</v>
      </c>
      <c r="AJ28" s="161"/>
      <c r="AK28" s="162"/>
      <c r="AL28" s="158" t="s">
        <v>51</v>
      </c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60"/>
    </row>
    <row r="29" spans="3:64" s="18" customFormat="1" ht="21" customHeight="1" x14ac:dyDescent="0.25">
      <c r="C29" s="176" t="s">
        <v>52</v>
      </c>
      <c r="D29" s="176"/>
      <c r="E29" s="176"/>
      <c r="F29" s="176"/>
      <c r="G29" s="176" t="s">
        <v>53</v>
      </c>
      <c r="H29" s="176"/>
      <c r="I29" s="176"/>
      <c r="J29" s="176"/>
      <c r="K29" s="176"/>
      <c r="L29" s="176"/>
      <c r="M29" s="176" t="s">
        <v>54</v>
      </c>
      <c r="N29" s="176"/>
      <c r="O29" s="176"/>
      <c r="P29" s="176"/>
      <c r="Q29" s="176"/>
      <c r="R29" s="176"/>
      <c r="S29" s="176"/>
      <c r="T29" s="176"/>
      <c r="U29" s="176"/>
      <c r="V29" s="147" t="s">
        <v>55</v>
      </c>
      <c r="W29" s="163"/>
      <c r="X29" s="164"/>
      <c r="Y29" s="176" t="s">
        <v>21</v>
      </c>
      <c r="Z29" s="176"/>
      <c r="AA29" s="176"/>
      <c r="AB29" s="176" t="s">
        <v>56</v>
      </c>
      <c r="AC29" s="176"/>
      <c r="AD29" s="176"/>
      <c r="AE29" s="176" t="s">
        <v>57</v>
      </c>
      <c r="AF29" s="176"/>
      <c r="AG29" s="176" t="s">
        <v>23</v>
      </c>
      <c r="AH29" s="176"/>
      <c r="AI29" s="147"/>
      <c r="AJ29" s="163"/>
      <c r="AK29" s="164"/>
      <c r="AL29" s="172" t="s">
        <v>36</v>
      </c>
      <c r="AM29" s="172"/>
      <c r="AN29" s="172" t="s">
        <v>37</v>
      </c>
      <c r="AO29" s="172"/>
      <c r="AP29" s="172" t="s">
        <v>38</v>
      </c>
      <c r="AQ29" s="172"/>
      <c r="AR29" s="172" t="s">
        <v>39</v>
      </c>
      <c r="AS29" s="172"/>
      <c r="AT29" s="172" t="s">
        <v>40</v>
      </c>
      <c r="AU29" s="172"/>
      <c r="AV29" s="172" t="s">
        <v>41</v>
      </c>
      <c r="AW29" s="172"/>
      <c r="AX29" s="172" t="s">
        <v>42</v>
      </c>
      <c r="AY29" s="172"/>
      <c r="AZ29" s="172" t="s">
        <v>43</v>
      </c>
      <c r="BA29" s="172"/>
      <c r="BB29" s="172" t="s">
        <v>44</v>
      </c>
      <c r="BC29" s="172"/>
      <c r="BD29" s="172" t="s">
        <v>45</v>
      </c>
      <c r="BE29" s="172"/>
      <c r="BF29" s="172" t="s">
        <v>46</v>
      </c>
      <c r="BG29" s="172"/>
      <c r="BH29" s="172" t="s">
        <v>47</v>
      </c>
      <c r="BI29" s="172"/>
    </row>
    <row r="30" spans="3:64" s="18" customFormat="1" ht="12.75" customHeight="1" x14ac:dyDescent="0.25"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47"/>
      <c r="W30" s="163"/>
      <c r="X30" s="164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47"/>
      <c r="AJ30" s="163"/>
      <c r="AK30" s="164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</row>
    <row r="31" spans="3:64" s="18" customFormat="1" ht="36" customHeight="1" x14ac:dyDescent="0.25"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48"/>
      <c r="W31" s="165"/>
      <c r="X31" s="166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48"/>
      <c r="AJ31" s="165"/>
      <c r="AK31" s="166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</row>
    <row r="32" spans="3:64" x14ac:dyDescent="0.2">
      <c r="C32" s="177">
        <f>+'certificado sueldo'!D186</f>
        <v>27735492</v>
      </c>
      <c r="D32" s="178"/>
      <c r="E32" s="178"/>
      <c r="F32" s="179"/>
      <c r="G32" s="177">
        <f>+'certificado sueldo'!E186</f>
        <v>205178</v>
      </c>
      <c r="H32" s="178"/>
      <c r="I32" s="178"/>
      <c r="J32" s="178"/>
      <c r="K32" s="178"/>
      <c r="L32" s="179"/>
      <c r="M32" s="177"/>
      <c r="N32" s="178"/>
      <c r="O32" s="178"/>
      <c r="P32" s="178"/>
      <c r="Q32" s="178"/>
      <c r="R32" s="178"/>
      <c r="S32" s="178"/>
      <c r="T32" s="178"/>
      <c r="U32" s="179"/>
      <c r="V32" s="131">
        <f>+'certificado sueldo'!G186</f>
        <v>4077033</v>
      </c>
      <c r="W32" s="132"/>
      <c r="X32" s="133"/>
      <c r="Y32" s="180"/>
      <c r="Z32" s="181"/>
      <c r="AA32" s="182"/>
      <c r="AB32" s="181"/>
      <c r="AC32" s="181"/>
      <c r="AD32" s="181"/>
      <c r="AE32" s="190">
        <f>+'certificado sueldo'!C186+'certificado sueldo'!Q186-'LIBRO REMUNERACIONES'!R106</f>
        <v>8048398.2665999997</v>
      </c>
      <c r="AF32" s="134"/>
      <c r="AG32" s="134"/>
      <c r="AH32" s="134"/>
      <c r="AI32" s="131">
        <f>+'certificado sueldo'!P186</f>
        <v>35114716.879000001</v>
      </c>
      <c r="AJ32" s="132"/>
      <c r="AK32" s="133"/>
      <c r="AL32" s="120">
        <f>SUM(AM23:AN26)</f>
        <v>2226265</v>
      </c>
      <c r="AM32" s="120"/>
      <c r="AN32" s="120">
        <f t="shared" ref="AN32" si="0">SUM(AO23:AP26)</f>
        <v>2157690</v>
      </c>
      <c r="AO32" s="120"/>
      <c r="AP32" s="120">
        <f t="shared" ref="AP32" si="1">SUM(AQ23:AR26)</f>
        <v>2001561</v>
      </c>
      <c r="AQ32" s="120"/>
      <c r="AR32" s="120">
        <f t="shared" ref="AR32" si="2">SUM(AS23:AT26)</f>
        <v>1561606</v>
      </c>
      <c r="AS32" s="120"/>
      <c r="AT32" s="120">
        <f t="shared" ref="AT32" si="3">SUM(AU23:AV26)</f>
        <v>2160014</v>
      </c>
      <c r="AU32" s="120"/>
      <c r="AV32" s="120">
        <f t="shared" ref="AV32" si="4">SUM(AW23:AX26)</f>
        <v>2571862</v>
      </c>
      <c r="AW32" s="120"/>
      <c r="AX32" s="120">
        <f t="shared" ref="AX32" si="5">SUM(AY23:AZ26)</f>
        <v>2780898</v>
      </c>
      <c r="AY32" s="120"/>
      <c r="AZ32" s="120">
        <f t="shared" ref="AZ32" si="6">SUM(BA23:BB26)</f>
        <v>2470471</v>
      </c>
      <c r="BA32" s="120"/>
      <c r="BB32" s="120">
        <f t="shared" ref="BB32" si="7">SUM(BC23:BD26)</f>
        <v>2969601</v>
      </c>
      <c r="BC32" s="120"/>
      <c r="BD32" s="120">
        <f t="shared" ref="BD32" si="8">SUM(BE23:BF26)</f>
        <v>2211190</v>
      </c>
      <c r="BE32" s="120"/>
      <c r="BF32" s="120">
        <f t="shared" ref="BF32" si="9">SUM(BG23:BH26)</f>
        <v>2191375</v>
      </c>
      <c r="BG32" s="120"/>
      <c r="BH32" s="120">
        <f t="shared" ref="BH32" si="10">SUM(BI23:BJ26)</f>
        <v>2432959</v>
      </c>
      <c r="BI32" s="120"/>
    </row>
    <row r="33" spans="2:59" ht="36" customHeight="1" x14ac:dyDescent="0.2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5"/>
      <c r="Z33" s="5"/>
      <c r="AA33" s="5"/>
      <c r="AB33" s="5"/>
      <c r="AC33" s="5"/>
      <c r="AD33" s="5"/>
      <c r="AE33" s="5"/>
      <c r="AF33" s="5"/>
      <c r="AG33" s="183"/>
      <c r="AH33" s="183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</row>
    <row r="34" spans="2:59" ht="7.5" customHeight="1" x14ac:dyDescent="0.2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5"/>
      <c r="Z34" s="5"/>
      <c r="AA34" s="5"/>
      <c r="AB34" s="5"/>
      <c r="AC34" s="5"/>
      <c r="AD34" s="5"/>
      <c r="AE34" s="5"/>
      <c r="AF34" s="5"/>
      <c r="AG34" s="184"/>
      <c r="AH34" s="184"/>
      <c r="AI34" s="19"/>
    </row>
    <row r="35" spans="2:59" ht="7.5" customHeight="1" x14ac:dyDescent="0.2"/>
    <row r="36" spans="2:59" x14ac:dyDescent="0.2">
      <c r="C36" s="185" t="s">
        <v>66</v>
      </c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5"/>
      <c r="AF36" s="5"/>
      <c r="AG36" s="5"/>
      <c r="AH36" s="5"/>
      <c r="AI36" s="5"/>
    </row>
    <row r="37" spans="2:59" ht="12.75" customHeight="1" x14ac:dyDescent="0.2">
      <c r="C37" s="134" t="s">
        <v>58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46" t="s">
        <v>59</v>
      </c>
      <c r="AB37" s="161"/>
      <c r="AC37" s="161"/>
      <c r="AD37" s="162"/>
      <c r="AE37" s="5"/>
      <c r="AF37" s="5"/>
      <c r="AG37" s="5"/>
      <c r="AH37" s="5"/>
      <c r="AI37" s="5"/>
    </row>
    <row r="38" spans="2:59" ht="12.75" customHeight="1" x14ac:dyDescent="0.2">
      <c r="C38" s="147" t="s">
        <v>60</v>
      </c>
      <c r="D38" s="163"/>
      <c r="E38" s="164"/>
      <c r="F38" s="147" t="s">
        <v>61</v>
      </c>
      <c r="G38" s="163"/>
      <c r="H38" s="163"/>
      <c r="I38" s="163"/>
      <c r="J38" s="147" t="s">
        <v>19</v>
      </c>
      <c r="K38" s="163"/>
      <c r="L38" s="163"/>
      <c r="M38" s="164"/>
      <c r="N38" s="147" t="s">
        <v>55</v>
      </c>
      <c r="O38" s="163"/>
      <c r="P38" s="164"/>
      <c r="Q38" s="147" t="s">
        <v>21</v>
      </c>
      <c r="R38" s="163"/>
      <c r="S38" s="164"/>
      <c r="T38" s="147" t="s">
        <v>56</v>
      </c>
      <c r="U38" s="163"/>
      <c r="V38" s="164"/>
      <c r="W38" s="172" t="s">
        <v>23</v>
      </c>
      <c r="X38" s="172"/>
      <c r="Y38" s="172"/>
      <c r="Z38" s="172"/>
      <c r="AA38" s="147"/>
      <c r="AB38" s="163"/>
      <c r="AC38" s="163"/>
      <c r="AD38" s="164"/>
    </row>
    <row r="39" spans="2:59" ht="42.75" customHeight="1" x14ac:dyDescent="0.2">
      <c r="C39" s="148"/>
      <c r="D39" s="165"/>
      <c r="E39" s="166"/>
      <c r="F39" s="148"/>
      <c r="G39" s="165"/>
      <c r="H39" s="165"/>
      <c r="I39" s="165"/>
      <c r="J39" s="148"/>
      <c r="K39" s="165"/>
      <c r="L39" s="165"/>
      <c r="M39" s="166"/>
      <c r="N39" s="148"/>
      <c r="O39" s="165"/>
      <c r="P39" s="166"/>
      <c r="Q39" s="148"/>
      <c r="R39" s="165"/>
      <c r="S39" s="166"/>
      <c r="T39" s="148"/>
      <c r="U39" s="165"/>
      <c r="V39" s="166"/>
      <c r="W39" s="172"/>
      <c r="X39" s="172"/>
      <c r="Y39" s="172"/>
      <c r="Z39" s="172"/>
      <c r="AA39" s="148"/>
      <c r="AB39" s="165"/>
      <c r="AC39" s="165"/>
      <c r="AD39" s="166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9" x14ac:dyDescent="0.2">
      <c r="C40" s="131">
        <f>+'certificado sueldo'!J186</f>
        <v>28348095.651999999</v>
      </c>
      <c r="D40" s="132"/>
      <c r="E40" s="133"/>
      <c r="F40" s="131">
        <f>+'certificado sueldo'!K186</f>
        <v>209750.89700000003</v>
      </c>
      <c r="G40" s="132"/>
      <c r="H40" s="132"/>
      <c r="I40" s="132"/>
      <c r="J40" s="131"/>
      <c r="K40" s="132"/>
      <c r="L40" s="132"/>
      <c r="M40" s="133"/>
      <c r="N40" s="131">
        <f>+'certificado sueldo'!M186</f>
        <v>4153474.9119999995</v>
      </c>
      <c r="O40" s="132"/>
      <c r="P40" s="133"/>
      <c r="Q40" s="131"/>
      <c r="R40" s="132"/>
      <c r="S40" s="133"/>
      <c r="T40" s="131"/>
      <c r="U40" s="132"/>
      <c r="V40" s="133"/>
      <c r="W40" s="134"/>
      <c r="X40" s="134"/>
      <c r="Y40" s="134"/>
      <c r="Z40" s="134"/>
      <c r="AA40" s="135">
        <v>4</v>
      </c>
      <c r="AB40" s="123"/>
      <c r="AC40" s="123"/>
      <c r="AD40" s="124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2:59" ht="20.25" customHeight="1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W41" s="187"/>
      <c r="X41" s="187"/>
      <c r="Y41" s="187"/>
      <c r="Z41" s="187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</row>
    <row r="42" spans="2:59" ht="12" customHeight="1" x14ac:dyDescent="0.2">
      <c r="B42" s="188" t="s">
        <v>62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</row>
    <row r="43" spans="2:59" ht="12" customHeight="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2:59" ht="12" customHeight="1" x14ac:dyDescent="0.2">
      <c r="B44" s="135" t="s">
        <v>63</v>
      </c>
      <c r="C44" s="123"/>
      <c r="D44" s="123"/>
      <c r="E44" s="123"/>
      <c r="F44" s="123"/>
      <c r="G44" s="123"/>
      <c r="H44" s="124"/>
      <c r="I44" s="4"/>
      <c r="J44" s="4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2:59" ht="15" customHeight="1" x14ac:dyDescent="0.2">
      <c r="B45" s="20"/>
      <c r="C45" s="181" t="str">
        <f>+'certificado sueldo'!L41</f>
        <v>8.888.888-8</v>
      </c>
      <c r="D45" s="181"/>
      <c r="E45" s="181"/>
      <c r="F45" s="21"/>
      <c r="G45" s="21"/>
      <c r="H45" s="22"/>
    </row>
    <row r="46" spans="2:59" ht="12" customHeight="1" x14ac:dyDescent="0.2"/>
    <row r="47" spans="2:59" ht="12" customHeight="1" x14ac:dyDescent="0.2"/>
    <row r="48" spans="2:59" ht="12" customHeight="1" x14ac:dyDescent="0.2"/>
    <row r="49" spans="26:27" ht="12" customHeight="1" x14ac:dyDescent="0.2"/>
    <row r="50" spans="26:27" ht="12" customHeight="1" x14ac:dyDescent="0.2"/>
    <row r="51" spans="26:27" ht="12" customHeight="1" x14ac:dyDescent="0.2"/>
    <row r="52" spans="26:27" ht="12" customHeight="1" x14ac:dyDescent="0.2"/>
    <row r="53" spans="26:27" ht="12" customHeight="1" x14ac:dyDescent="0.2"/>
    <row r="54" spans="26:27" ht="12" customHeight="1" x14ac:dyDescent="0.2"/>
    <row r="55" spans="26:27" ht="12" customHeight="1" x14ac:dyDescent="0.2">
      <c r="Z55" s="186"/>
      <c r="AA55" s="186"/>
    </row>
    <row r="56" spans="26:27" ht="12" customHeight="1" x14ac:dyDescent="0.2">
      <c r="Z56" s="186"/>
      <c r="AA56" s="186"/>
    </row>
    <row r="57" spans="26:27" ht="12" customHeight="1" x14ac:dyDescent="0.2">
      <c r="Z57" s="186"/>
      <c r="AA57" s="186"/>
    </row>
    <row r="58" spans="26:27" ht="12" customHeight="1" x14ac:dyDescent="0.2">
      <c r="Z58" s="186"/>
      <c r="AA58" s="186"/>
    </row>
    <row r="59" spans="26:27" ht="12" customHeight="1" x14ac:dyDescent="0.2">
      <c r="Z59" s="186"/>
      <c r="AA59" s="186"/>
    </row>
    <row r="60" spans="26:27" ht="12" customHeight="1" x14ac:dyDescent="0.2">
      <c r="Z60" s="186"/>
      <c r="AA60" s="186"/>
    </row>
    <row r="61" spans="26:27" ht="12" customHeight="1" x14ac:dyDescent="0.2">
      <c r="Z61" s="186"/>
      <c r="AA61" s="186"/>
    </row>
    <row r="62" spans="26:27" ht="12" customHeight="1" x14ac:dyDescent="0.2"/>
    <row r="63" spans="26:27" ht="12" customHeight="1" x14ac:dyDescent="0.2"/>
    <row r="64" spans="26:27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</sheetData>
  <mergeCells count="215">
    <mergeCell ref="C45:E45"/>
    <mergeCell ref="Z55:AA61"/>
    <mergeCell ref="AA40:AD40"/>
    <mergeCell ref="W41:Z41"/>
    <mergeCell ref="B42:AB42"/>
    <mergeCell ref="B44:H44"/>
    <mergeCell ref="AD44:AK44"/>
    <mergeCell ref="AL44:AR44"/>
    <mergeCell ref="W38:Z39"/>
    <mergeCell ref="C40:E40"/>
    <mergeCell ref="F40:I40"/>
    <mergeCell ref="J40:M40"/>
    <mergeCell ref="N40:P40"/>
    <mergeCell ref="Q40:S40"/>
    <mergeCell ref="T40:V40"/>
    <mergeCell ref="W40:Z40"/>
    <mergeCell ref="AG33:AH34"/>
    <mergeCell ref="C36:AD36"/>
    <mergeCell ref="C37:Z37"/>
    <mergeCell ref="AA37:AD39"/>
    <mergeCell ref="C38:E39"/>
    <mergeCell ref="F38:I39"/>
    <mergeCell ref="J38:M39"/>
    <mergeCell ref="N38:P39"/>
    <mergeCell ref="Q38:S39"/>
    <mergeCell ref="T38:V39"/>
    <mergeCell ref="AX32:AY32"/>
    <mergeCell ref="AZ32:BA32"/>
    <mergeCell ref="BB32:BC32"/>
    <mergeCell ref="BD32:BE32"/>
    <mergeCell ref="BF32:BG32"/>
    <mergeCell ref="BH32:BI32"/>
    <mergeCell ref="AL32:AM32"/>
    <mergeCell ref="AN32:AO32"/>
    <mergeCell ref="AP32:AQ32"/>
    <mergeCell ref="AR32:AS32"/>
    <mergeCell ref="AT32:AU32"/>
    <mergeCell ref="AV32:AW32"/>
    <mergeCell ref="C32:F32"/>
    <mergeCell ref="G32:L32"/>
    <mergeCell ref="M32:U32"/>
    <mergeCell ref="V32:X32"/>
    <mergeCell ref="Y32:AA32"/>
    <mergeCell ref="AB32:AD32"/>
    <mergeCell ref="AE32:AF32"/>
    <mergeCell ref="AG32:AH32"/>
    <mergeCell ref="AI32:AK32"/>
    <mergeCell ref="C28:AH28"/>
    <mergeCell ref="AI28:AK31"/>
    <mergeCell ref="AL28:BI28"/>
    <mergeCell ref="C29:F31"/>
    <mergeCell ref="G29:L31"/>
    <mergeCell ref="M29:U31"/>
    <mergeCell ref="V29:X31"/>
    <mergeCell ref="Y29:AA31"/>
    <mergeCell ref="AB29:AD31"/>
    <mergeCell ref="AE29:AF31"/>
    <mergeCell ref="BH29:BI31"/>
    <mergeCell ref="AV29:AW31"/>
    <mergeCell ref="AX29:AY31"/>
    <mergeCell ref="AZ29:BA31"/>
    <mergeCell ref="BB29:BC31"/>
    <mergeCell ref="BD29:BE31"/>
    <mergeCell ref="BF29:BG31"/>
    <mergeCell ref="AG29:AH31"/>
    <mergeCell ref="AL29:AM31"/>
    <mergeCell ref="AN29:AO31"/>
    <mergeCell ref="AP29:AQ31"/>
    <mergeCell ref="AR29:AS31"/>
    <mergeCell ref="AT29:AU31"/>
    <mergeCell ref="BE23:BF23"/>
    <mergeCell ref="BG23:BH23"/>
    <mergeCell ref="BI23:BJ23"/>
    <mergeCell ref="BK23:BL23"/>
    <mergeCell ref="V27:W27"/>
    <mergeCell ref="BK27:BL27"/>
    <mergeCell ref="AS23:AT23"/>
    <mergeCell ref="AU23:AV23"/>
    <mergeCell ref="AW23:AX23"/>
    <mergeCell ref="AY23:AZ23"/>
    <mergeCell ref="BA23:BB23"/>
    <mergeCell ref="BC23:BD23"/>
    <mergeCell ref="AM24:AN24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BE24:BF24"/>
    <mergeCell ref="BG24:BH24"/>
    <mergeCell ref="BI24:BJ24"/>
    <mergeCell ref="T23:U23"/>
    <mergeCell ref="V23:W23"/>
    <mergeCell ref="AJ23:AL23"/>
    <mergeCell ref="AM23:AN23"/>
    <mergeCell ref="AO23:AP23"/>
    <mergeCell ref="AQ23:AR23"/>
    <mergeCell ref="D23:F23"/>
    <mergeCell ref="G23:I23"/>
    <mergeCell ref="J23:L23"/>
    <mergeCell ref="M23:O23"/>
    <mergeCell ref="P23:Q23"/>
    <mergeCell ref="R23:S23"/>
    <mergeCell ref="BK20:BL22"/>
    <mergeCell ref="G21:I22"/>
    <mergeCell ref="J21:L22"/>
    <mergeCell ref="M21:O22"/>
    <mergeCell ref="P21:Q22"/>
    <mergeCell ref="R21:S22"/>
    <mergeCell ref="T21:U22"/>
    <mergeCell ref="V21:W22"/>
    <mergeCell ref="X21:X22"/>
    <mergeCell ref="Y21:Y22"/>
    <mergeCell ref="AY21:AZ22"/>
    <mergeCell ref="BA21:BB22"/>
    <mergeCell ref="BC21:BD22"/>
    <mergeCell ref="BE21:BF22"/>
    <mergeCell ref="BG21:BH22"/>
    <mergeCell ref="BI21:BJ22"/>
    <mergeCell ref="AM21:AN22"/>
    <mergeCell ref="AO21:AP22"/>
    <mergeCell ref="AQ21:AR22"/>
    <mergeCell ref="AS21:AT22"/>
    <mergeCell ref="AU21:AV22"/>
    <mergeCell ref="AW21:AX22"/>
    <mergeCell ref="S15:AB15"/>
    <mergeCell ref="C20:C22"/>
    <mergeCell ref="D20:F22"/>
    <mergeCell ref="G20:W20"/>
    <mergeCell ref="X20:AI20"/>
    <mergeCell ref="AJ20:AL22"/>
    <mergeCell ref="AM20:BJ20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G24:I24"/>
    <mergeCell ref="J24:L24"/>
    <mergeCell ref="M24:O24"/>
    <mergeCell ref="P24:Q24"/>
    <mergeCell ref="R24:S24"/>
    <mergeCell ref="T24:U24"/>
    <mergeCell ref="V24:W24"/>
    <mergeCell ref="AJ24:AL24"/>
    <mergeCell ref="AI3:AJ3"/>
    <mergeCell ref="AG4:AH4"/>
    <mergeCell ref="AI4:AJ4"/>
    <mergeCell ref="B6:AJ6"/>
    <mergeCell ref="C10:R10"/>
    <mergeCell ref="S10:AB10"/>
    <mergeCell ref="C14:R14"/>
    <mergeCell ref="C16:R16"/>
    <mergeCell ref="C11:R11"/>
    <mergeCell ref="S11:AB11"/>
    <mergeCell ref="C12:R12"/>
    <mergeCell ref="S12:AB12"/>
    <mergeCell ref="C13:R13"/>
    <mergeCell ref="S13:AB13"/>
    <mergeCell ref="S14:AB14"/>
    <mergeCell ref="S16:AB16"/>
    <mergeCell ref="BK24:BL24"/>
    <mergeCell ref="D25:F25"/>
    <mergeCell ref="G25:I25"/>
    <mergeCell ref="J25:L25"/>
    <mergeCell ref="M25:O25"/>
    <mergeCell ref="P25:Q25"/>
    <mergeCell ref="R25:S25"/>
    <mergeCell ref="T25:U25"/>
    <mergeCell ref="V25:W25"/>
    <mergeCell ref="AJ25:AL25"/>
    <mergeCell ref="AM25:AN25"/>
    <mergeCell ref="AO25:AP25"/>
    <mergeCell ref="AQ25:AR25"/>
    <mergeCell ref="AS25:AT25"/>
    <mergeCell ref="AU25:AV25"/>
    <mergeCell ref="AW25:AX25"/>
    <mergeCell ref="AY25:AZ25"/>
    <mergeCell ref="BA25:BB25"/>
    <mergeCell ref="BC25:BD25"/>
    <mergeCell ref="BE25:BF25"/>
    <mergeCell ref="BG25:BH25"/>
    <mergeCell ref="BI25:BJ25"/>
    <mergeCell ref="BK25:BL25"/>
    <mergeCell ref="D24:F24"/>
    <mergeCell ref="D26:F26"/>
    <mergeCell ref="G26:I26"/>
    <mergeCell ref="J26:L26"/>
    <mergeCell ref="M26:O26"/>
    <mergeCell ref="P26:Q26"/>
    <mergeCell ref="R26:S26"/>
    <mergeCell ref="T26:U26"/>
    <mergeCell ref="V26:W26"/>
    <mergeCell ref="AJ26:AL26"/>
    <mergeCell ref="BE26:BF26"/>
    <mergeCell ref="BG26:BH26"/>
    <mergeCell ref="BI26:BJ26"/>
    <mergeCell ref="BK26:BL26"/>
    <mergeCell ref="AM26:AN26"/>
    <mergeCell ref="AO26:AP26"/>
    <mergeCell ref="AQ26:AR26"/>
    <mergeCell ref="AS26:AT26"/>
    <mergeCell ref="AU26:AV26"/>
    <mergeCell ref="AW26:AX26"/>
    <mergeCell ref="AY26:AZ26"/>
    <mergeCell ref="BA26:BB26"/>
    <mergeCell ref="BC26:BD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27" zoomScale="91" zoomScaleNormal="91" workbookViewId="0">
      <selection activeCell="D38" sqref="D38"/>
    </sheetView>
  </sheetViews>
  <sheetFormatPr baseColWidth="10" defaultRowHeight="15" x14ac:dyDescent="0.25"/>
  <cols>
    <col min="1" max="1" width="7" style="214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 x14ac:dyDescent="0.25">
      <c r="A1" s="191"/>
      <c r="B1" s="192"/>
      <c r="C1" s="193" t="s">
        <v>190</v>
      </c>
      <c r="D1" s="193"/>
      <c r="E1" s="193"/>
      <c r="F1" s="192"/>
      <c r="G1" s="192"/>
      <c r="H1" s="192"/>
      <c r="I1" s="192"/>
      <c r="J1" s="192"/>
    </row>
    <row r="2" spans="1:10" x14ac:dyDescent="0.25">
      <c r="A2" s="191"/>
      <c r="B2" s="194" t="s">
        <v>152</v>
      </c>
      <c r="C2" s="192"/>
      <c r="D2" s="192"/>
      <c r="E2" s="192"/>
      <c r="F2" s="192"/>
      <c r="G2" s="192"/>
      <c r="H2" s="192"/>
      <c r="I2" s="192"/>
      <c r="J2" s="192"/>
    </row>
    <row r="3" spans="1:10" x14ac:dyDescent="0.25">
      <c r="A3" s="191"/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5">
      <c r="A4" s="195" t="s">
        <v>191</v>
      </c>
      <c r="B4" s="195" t="s">
        <v>192</v>
      </c>
      <c r="C4" s="195" t="s">
        <v>193</v>
      </c>
      <c r="D4" s="195" t="s">
        <v>194</v>
      </c>
      <c r="E4" s="195" t="s">
        <v>195</v>
      </c>
      <c r="F4" s="195" t="s">
        <v>196</v>
      </c>
      <c r="G4" s="195" t="s">
        <v>197</v>
      </c>
      <c r="H4" s="195" t="s">
        <v>198</v>
      </c>
      <c r="I4" s="195" t="s">
        <v>199</v>
      </c>
      <c r="J4" s="195" t="s">
        <v>200</v>
      </c>
    </row>
    <row r="5" spans="1:10" x14ac:dyDescent="0.25">
      <c r="A5" s="196" t="s">
        <v>201</v>
      </c>
      <c r="B5" s="197" t="s">
        <v>202</v>
      </c>
      <c r="C5" s="198">
        <f>+'[3]balance 2022 final los andes '!G5+'[3]Libro Diario 2023 '!D195+'[3]Libro Diario 2023 '!D113+'[3]Libro Diario 2023 '!D92+40000000</f>
        <v>81478639</v>
      </c>
      <c r="D5" s="198">
        <f>+'[3]Libro Diario 2023 '!E87+'[3]Libro Diario 2023 '!E108+'[3]Libro Diario 2023 '!E219+36000000+252483</f>
        <v>41049683</v>
      </c>
      <c r="E5" s="198">
        <f>+IF(C5-D5&gt;0,C5-D5,0)</f>
        <v>40428956</v>
      </c>
      <c r="F5" s="198">
        <f>IF((D5-C5)&gt;0,D5-C5,0)</f>
        <v>0</v>
      </c>
      <c r="G5" s="198">
        <f t="shared" ref="G5:H25" si="0">IF(E5&gt;0,E5,0)</f>
        <v>40428956</v>
      </c>
      <c r="H5" s="198">
        <f t="shared" si="0"/>
        <v>0</v>
      </c>
      <c r="I5" s="198">
        <v>0</v>
      </c>
      <c r="J5" s="198">
        <v>0</v>
      </c>
    </row>
    <row r="6" spans="1:10" x14ac:dyDescent="0.25">
      <c r="A6" s="196" t="s">
        <v>203</v>
      </c>
      <c r="B6" s="197" t="s">
        <v>204</v>
      </c>
      <c r="C6" s="198">
        <f>+'[3]balance 2022 final los andes '!G6+'[3]Libro Diario 2023 '!D65+'[3]Libro Diario 2023 '!D110+'[3]Libro Diario 2023 '!D123+'[3]Libro Diario 2023 '!D146+'[3]Libro Diario 2023 '!D163+'[3]Libro Diario 2023 '!D210+'[3]Libro Diario 2023 '!D227+30000000+36000000+105240000+963</f>
        <v>919895763</v>
      </c>
      <c r="D6" s="198">
        <f>+'[3]Libro Diario 2023 '!E51+'[3]Libro Diario 2023 '!E57+'[3]Libro Diario 2023 '!E61+'[3]Libro Diario 2023 '!E74+'[3]Libro Diario 2023 '!E83+'[3]Libro Diario 2023 '!E104+'[3]Libro Diario 2023 '!E118+'[3]Libro Diario 2023 '!E134+'[3]Libro Diario 2023 '!E137+'[3]Libro Diario 2023 '!E161+'[3]Libro Diario 2023 '!E185+'[3]Libro Diario 2023 '!E188+'[3]Libro Diario 2023 '!E193+'[3]Libro Diario 2023 '!E207+'[3]Libro Diario 2023 '!E214+'[3]Libro Diario 2023 '!E225</f>
        <v>662432982</v>
      </c>
      <c r="E6" s="198">
        <f>+IF(C6-D6&gt;0,C6-D6,0)</f>
        <v>257462781</v>
      </c>
      <c r="F6" s="198">
        <f>IF((D6-C6)&gt;0,D6-C6,0)</f>
        <v>0</v>
      </c>
      <c r="G6" s="198">
        <f t="shared" si="0"/>
        <v>257462781</v>
      </c>
      <c r="H6" s="198">
        <f t="shared" si="0"/>
        <v>0</v>
      </c>
      <c r="I6" s="198">
        <v>0</v>
      </c>
      <c r="J6" s="198">
        <v>0</v>
      </c>
    </row>
    <row r="7" spans="1:10" x14ac:dyDescent="0.25">
      <c r="A7" s="196">
        <v>11010</v>
      </c>
      <c r="B7" s="197" t="s">
        <v>205</v>
      </c>
      <c r="C7" s="198">
        <f>+'[3]Libro Diario 2023 '!D133</f>
        <v>30000000</v>
      </c>
      <c r="D7" s="198">
        <f>+C7</f>
        <v>30000000</v>
      </c>
      <c r="E7" s="198">
        <f t="shared" ref="E7:E50" si="1">+IF(C7-D7&gt;0,C7-D7,0)</f>
        <v>0</v>
      </c>
      <c r="F7" s="198">
        <f t="shared" ref="F7:F50" si="2">IF((D7-C7)&gt;0,D7-C7,0)</f>
        <v>0</v>
      </c>
      <c r="G7" s="198">
        <f t="shared" si="0"/>
        <v>0</v>
      </c>
      <c r="H7" s="198">
        <f t="shared" si="0"/>
        <v>0</v>
      </c>
      <c r="I7" s="198">
        <v>0</v>
      </c>
      <c r="J7" s="198">
        <v>0</v>
      </c>
    </row>
    <row r="8" spans="1:10" x14ac:dyDescent="0.25">
      <c r="A8" s="196">
        <v>11011</v>
      </c>
      <c r="B8" s="197" t="s">
        <v>206</v>
      </c>
      <c r="C8" s="198">
        <f>+'[3]balance 2022 final los andes '!G8</f>
        <v>50000000</v>
      </c>
      <c r="D8" s="198">
        <f>+'[3]Libro Diario 2023 '!E147</f>
        <v>50000000</v>
      </c>
      <c r="E8" s="198">
        <f t="shared" si="1"/>
        <v>0</v>
      </c>
      <c r="F8" s="198">
        <f t="shared" si="2"/>
        <v>0</v>
      </c>
      <c r="G8" s="198">
        <f t="shared" si="0"/>
        <v>0</v>
      </c>
      <c r="H8" s="198">
        <f t="shared" si="0"/>
        <v>0</v>
      </c>
      <c r="I8" s="198">
        <v>0</v>
      </c>
      <c r="J8" s="198">
        <v>0</v>
      </c>
    </row>
    <row r="9" spans="1:10" x14ac:dyDescent="0.25">
      <c r="A9" s="196">
        <v>11020</v>
      </c>
      <c r="B9" s="197" t="s">
        <v>207</v>
      </c>
      <c r="C9" s="198">
        <f>+'[3]balance 2022 final los andes '!G9+'[3]Libro Diario 2023 '!D64</f>
        <v>559500000</v>
      </c>
      <c r="D9" s="198">
        <f>+'[3]Libro Diario 2023 '!E111+'[3]Libro Diario 2023 '!E211+'[3]Libro Diario 2023 '!E243</f>
        <v>392900000</v>
      </c>
      <c r="E9" s="198">
        <f t="shared" si="1"/>
        <v>166600000</v>
      </c>
      <c r="F9" s="198">
        <f t="shared" si="2"/>
        <v>0</v>
      </c>
      <c r="G9" s="198">
        <f t="shared" si="0"/>
        <v>166600000</v>
      </c>
      <c r="H9" s="198">
        <f t="shared" si="0"/>
        <v>0</v>
      </c>
      <c r="I9" s="198">
        <v>0</v>
      </c>
      <c r="J9" s="198">
        <v>0</v>
      </c>
    </row>
    <row r="10" spans="1:10" x14ac:dyDescent="0.25">
      <c r="A10" s="196">
        <f>+A9+1</f>
        <v>11021</v>
      </c>
      <c r="B10" s="197" t="s">
        <v>208</v>
      </c>
      <c r="C10" s="198">
        <f>+'[3]Libro Diario 2023 '!D242</f>
        <v>7865000</v>
      </c>
      <c r="D10" s="198">
        <f>+'[3]balance 2022 final los andes '!H10+'[3]Libro Diario 2023 '!E176</f>
        <v>15605000</v>
      </c>
      <c r="E10" s="198">
        <f t="shared" si="1"/>
        <v>0</v>
      </c>
      <c r="F10" s="198">
        <f t="shared" si="2"/>
        <v>7740000</v>
      </c>
      <c r="G10" s="198">
        <f t="shared" si="0"/>
        <v>0</v>
      </c>
      <c r="H10" s="198">
        <f t="shared" si="0"/>
        <v>7740000</v>
      </c>
      <c r="I10" s="198">
        <v>0</v>
      </c>
      <c r="J10" s="198">
        <v>0</v>
      </c>
    </row>
    <row r="11" spans="1:10" x14ac:dyDescent="0.25">
      <c r="A11" s="196">
        <v>11051</v>
      </c>
      <c r="B11" s="197" t="s">
        <v>209</v>
      </c>
      <c r="C11" s="198">
        <f>+'[3]balance 2022 final los andes '!G11+'[3]Libro Diario 2023 '!D142+'[3]Libro Diario 2023 '!D196</f>
        <v>594508833.6134454</v>
      </c>
      <c r="D11" s="198">
        <f>+'[3]Libro Diario 2023 '!E69+'[3]Libro Diario 2023 '!E168+'[3]Libro Diario 2023 '!E172</f>
        <v>262548191.155</v>
      </c>
      <c r="E11" s="198">
        <f t="shared" si="1"/>
        <v>331960642.45844543</v>
      </c>
      <c r="F11" s="198">
        <f t="shared" si="2"/>
        <v>0</v>
      </c>
      <c r="G11" s="198">
        <f t="shared" si="0"/>
        <v>331960642.45844543</v>
      </c>
      <c r="H11" s="198">
        <f t="shared" si="0"/>
        <v>0</v>
      </c>
      <c r="I11" s="198">
        <v>0</v>
      </c>
      <c r="J11" s="198">
        <v>0</v>
      </c>
    </row>
    <row r="12" spans="1:10" x14ac:dyDescent="0.25">
      <c r="A12" s="431">
        <v>11071</v>
      </c>
      <c r="B12" s="429" t="s">
        <v>387</v>
      </c>
      <c r="C12" s="430">
        <f>+'LIBRO REMUNERACIONES'!S109</f>
        <v>965899</v>
      </c>
      <c r="D12" s="430">
        <f>+'LIBRO REMUNERACIONES'!S109</f>
        <v>965899</v>
      </c>
      <c r="E12" s="430">
        <f t="shared" si="1"/>
        <v>0</v>
      </c>
      <c r="F12" s="430">
        <f t="shared" si="2"/>
        <v>0</v>
      </c>
      <c r="G12" s="430">
        <f t="shared" si="0"/>
        <v>0</v>
      </c>
      <c r="H12" s="430">
        <f t="shared" si="0"/>
        <v>0</v>
      </c>
      <c r="I12" s="430">
        <v>0</v>
      </c>
      <c r="J12" s="430">
        <v>0</v>
      </c>
    </row>
    <row r="13" spans="1:10" x14ac:dyDescent="0.25">
      <c r="A13" s="431">
        <f>+A12+1</f>
        <v>11072</v>
      </c>
      <c r="B13" s="429" t="s">
        <v>388</v>
      </c>
      <c r="C13" s="430">
        <f>+'LIBRO REMUNERACIONES'!S110</f>
        <v>530000</v>
      </c>
      <c r="D13" s="430">
        <f>+'LIBRO REMUNERACIONES'!S110</f>
        <v>530000</v>
      </c>
      <c r="E13" s="430">
        <f t="shared" ref="E13" si="3">+IF(C13-D13&gt;0,C13-D13,0)</f>
        <v>0</v>
      </c>
      <c r="F13" s="430">
        <f t="shared" ref="F13" si="4">IF((D13-C13)&gt;0,D13-C13,0)</f>
        <v>0</v>
      </c>
      <c r="G13" s="430">
        <f t="shared" ref="G13" si="5">IF(E13&gt;0,E13,0)</f>
        <v>0</v>
      </c>
      <c r="H13" s="430">
        <f t="shared" ref="H13" si="6">IF(F13&gt;0,F13,0)</f>
        <v>0</v>
      </c>
      <c r="I13" s="430">
        <v>0</v>
      </c>
      <c r="J13" s="430">
        <v>0</v>
      </c>
    </row>
    <row r="14" spans="1:10" x14ac:dyDescent="0.25">
      <c r="A14" s="196">
        <f>+A13+1</f>
        <v>11073</v>
      </c>
      <c r="B14" s="197" t="s">
        <v>210</v>
      </c>
      <c r="C14" s="198">
        <f>+'[3]Libro Diario 2023 '!D136</f>
        <v>12000000</v>
      </c>
      <c r="D14" s="198">
        <f>+'[3]Libro Diario 2023 '!E140</f>
        <v>4000000</v>
      </c>
      <c r="E14" s="198">
        <f t="shared" si="1"/>
        <v>8000000</v>
      </c>
      <c r="F14" s="198">
        <f t="shared" si="2"/>
        <v>0</v>
      </c>
      <c r="G14" s="198">
        <f t="shared" si="0"/>
        <v>8000000</v>
      </c>
      <c r="H14" s="198">
        <f t="shared" si="0"/>
        <v>0</v>
      </c>
      <c r="I14" s="198">
        <v>0</v>
      </c>
      <c r="J14" s="198">
        <v>0</v>
      </c>
    </row>
    <row r="15" spans="1:10" x14ac:dyDescent="0.25">
      <c r="A15" s="196">
        <v>12001</v>
      </c>
      <c r="B15" s="197" t="s">
        <v>211</v>
      </c>
      <c r="C15" s="198">
        <f>+'[3]balance 2022 final los andes '!G14+'[3]Libro Diario 2023 '!D72+'[3]Libro Diario 2023 '!D198+'[3]Libro Diario 2023 '!D221+'[3]Libro Diario 2023 '!D217+'[3]Libro Diario 2023 '!D235</f>
        <v>17307377</v>
      </c>
      <c r="D15" s="198">
        <f>+'[3]Libro Diario 2023 '!E93</f>
        <v>10036000</v>
      </c>
      <c r="E15" s="198">
        <f t="shared" si="1"/>
        <v>7271377</v>
      </c>
      <c r="F15" s="198">
        <f t="shared" si="2"/>
        <v>0</v>
      </c>
      <c r="G15" s="198">
        <f t="shared" si="0"/>
        <v>7271377</v>
      </c>
      <c r="H15" s="198">
        <f t="shared" si="0"/>
        <v>0</v>
      </c>
      <c r="I15" s="198">
        <v>0</v>
      </c>
      <c r="J15" s="198">
        <v>0</v>
      </c>
    </row>
    <row r="16" spans="1:10" x14ac:dyDescent="0.25">
      <c r="A16" s="196">
        <f>+A15+1</f>
        <v>12002</v>
      </c>
      <c r="B16" s="197" t="s">
        <v>212</v>
      </c>
      <c r="C16" s="198">
        <f>+'[3]balance 2022 final los andes '!G15+'[3]Libro Diario 2023 '!D50+'[3]Libro Diario 2023 '!D82+'[3]Libro Diario 2023 '!D86+'[3]Libro Diario 2023 '!D103+'[3]Libro Diario 2023 '!D107+'[3]Libro Diario 2023 '!D117+'[3]Libro Diario 2023 '!D143+'[3]Libro Diario 2023 '!D191</f>
        <v>64882916.386554629</v>
      </c>
      <c r="D16" s="198">
        <f>+'[3]Libro Diario 2023 '!E56+'[3]Libro Diario 2023 '!E73+'[3]Libro Diario 2023 '!E218</f>
        <v>16207000</v>
      </c>
      <c r="E16" s="198">
        <f t="shared" si="1"/>
        <v>48675916.386554629</v>
      </c>
      <c r="F16" s="198">
        <f t="shared" si="2"/>
        <v>0</v>
      </c>
      <c r="G16" s="198">
        <f t="shared" si="0"/>
        <v>48675916.386554629</v>
      </c>
      <c r="H16" s="198">
        <f t="shared" si="0"/>
        <v>0</v>
      </c>
      <c r="I16" s="198">
        <v>0</v>
      </c>
      <c r="J16" s="198">
        <v>0</v>
      </c>
    </row>
    <row r="17" spans="1:10" hidden="1" x14ac:dyDescent="0.25">
      <c r="A17" s="196">
        <v>12001</v>
      </c>
      <c r="B17" s="197" t="s">
        <v>213</v>
      </c>
      <c r="C17" s="198">
        <f>+'[3]balance 2022 final los andes '!G16</f>
        <v>0</v>
      </c>
      <c r="D17" s="198">
        <f>+'[3]Libro Diario 2023 '!E57+'[3]Libro Diario 2023 '!E74+'[3]Libro Diario 2023 '!E219</f>
        <v>106247000</v>
      </c>
      <c r="E17" s="198">
        <f t="shared" ref="E17:E18" si="7">+IF(C17-D17&gt;0,C17-D17,0)</f>
        <v>0</v>
      </c>
      <c r="F17" s="198">
        <f t="shared" ref="F17:F18" si="8">IF((D17-C17)&gt;0,D17-C17,0)</f>
        <v>106247000</v>
      </c>
      <c r="G17" s="198">
        <f t="shared" ref="G17:G18" si="9">IF(E17&gt;0,E17,0)</f>
        <v>0</v>
      </c>
      <c r="H17" s="198">
        <f t="shared" ref="H17:H18" si="10">IF(F17&gt;0,F17,0)</f>
        <v>106247000</v>
      </c>
      <c r="I17" s="198">
        <v>0</v>
      </c>
      <c r="J17" s="198">
        <v>0</v>
      </c>
    </row>
    <row r="18" spans="1:10" x14ac:dyDescent="0.25">
      <c r="A18" s="431">
        <f>+A16+1</f>
        <v>12003</v>
      </c>
      <c r="B18" s="429" t="s">
        <v>382</v>
      </c>
      <c r="C18" s="430">
        <f>+'LIBRO REMUNERACIONES'!R106</f>
        <v>272633</v>
      </c>
      <c r="D18" s="430">
        <f>+'LIBRO REMUNERACIONES'!P98-'LIBRO REMUNERACIONES'!P95</f>
        <v>252483</v>
      </c>
      <c r="E18" s="430">
        <f t="shared" si="7"/>
        <v>20150</v>
      </c>
      <c r="F18" s="430">
        <f t="shared" si="8"/>
        <v>0</v>
      </c>
      <c r="G18" s="430">
        <f t="shared" si="9"/>
        <v>20150</v>
      </c>
      <c r="H18" s="430">
        <f t="shared" si="10"/>
        <v>0</v>
      </c>
      <c r="I18" s="430">
        <v>0</v>
      </c>
      <c r="J18" s="430">
        <v>0</v>
      </c>
    </row>
    <row r="19" spans="1:10" x14ac:dyDescent="0.25">
      <c r="A19" s="196">
        <v>13001</v>
      </c>
      <c r="B19" s="197" t="s">
        <v>214</v>
      </c>
      <c r="C19" s="198">
        <f>+'[3]balance 2022 final los andes '!G17</f>
        <v>16000000</v>
      </c>
      <c r="D19" s="198">
        <f>+'[3]Libro Diario 2023 '!E206</f>
        <v>16000000</v>
      </c>
      <c r="E19" s="198">
        <f t="shared" si="1"/>
        <v>0</v>
      </c>
      <c r="F19" s="198">
        <f t="shared" si="2"/>
        <v>0</v>
      </c>
      <c r="G19" s="198">
        <f t="shared" si="0"/>
        <v>0</v>
      </c>
      <c r="H19" s="198">
        <f t="shared" si="0"/>
        <v>0</v>
      </c>
      <c r="I19" s="198">
        <v>0</v>
      </c>
      <c r="J19" s="198">
        <v>0</v>
      </c>
    </row>
    <row r="20" spans="1:10" x14ac:dyDescent="0.25">
      <c r="A20" s="196">
        <v>13002</v>
      </c>
      <c r="B20" s="197" t="str">
        <f>+'[3]Libro Diario 2023 '!B199</f>
        <v>ACCIONES SOCIEDAD RRR SPA</v>
      </c>
      <c r="C20" s="198">
        <f>+'[3]Libro Diario 2023 '!D199</f>
        <v>12825000</v>
      </c>
      <c r="D20" s="198">
        <f>+'[3]balance 2022 final los andes '!H18</f>
        <v>0</v>
      </c>
      <c r="E20" s="198">
        <f t="shared" si="1"/>
        <v>12825000</v>
      </c>
      <c r="F20" s="198">
        <f t="shared" si="2"/>
        <v>0</v>
      </c>
      <c r="G20" s="198">
        <f t="shared" si="0"/>
        <v>12825000</v>
      </c>
      <c r="H20" s="198">
        <f t="shared" si="0"/>
        <v>0</v>
      </c>
      <c r="I20" s="198">
        <v>0</v>
      </c>
      <c r="J20" s="198">
        <v>0</v>
      </c>
    </row>
    <row r="21" spans="1:10" x14ac:dyDescent="0.25">
      <c r="A21" s="196" t="s">
        <v>215</v>
      </c>
      <c r="B21" s="197" t="s">
        <v>216</v>
      </c>
      <c r="C21" s="198">
        <f>+'[3]balance 2022 final los andes '!G19</f>
        <v>317260000</v>
      </c>
      <c r="D21" s="198">
        <f>+'[3]balance 2022 final los andes '!H19</f>
        <v>0</v>
      </c>
      <c r="E21" s="198">
        <f t="shared" si="1"/>
        <v>317260000</v>
      </c>
      <c r="F21" s="198">
        <f t="shared" si="2"/>
        <v>0</v>
      </c>
      <c r="G21" s="198">
        <f t="shared" si="0"/>
        <v>317260000</v>
      </c>
      <c r="H21" s="198">
        <f t="shared" si="0"/>
        <v>0</v>
      </c>
      <c r="I21" s="198">
        <v>0</v>
      </c>
      <c r="J21" s="198">
        <v>0</v>
      </c>
    </row>
    <row r="22" spans="1:10" x14ac:dyDescent="0.25">
      <c r="A22" s="196" t="s">
        <v>217</v>
      </c>
      <c r="B22" s="197" t="s">
        <v>218</v>
      </c>
      <c r="C22" s="198">
        <f>+'[3]balance 2022 final los andes '!G20</f>
        <v>50000000</v>
      </c>
      <c r="D22" s="198">
        <f>+'[3]balance 2022 final los andes '!H20</f>
        <v>0</v>
      </c>
      <c r="E22" s="198">
        <f t="shared" si="1"/>
        <v>50000000</v>
      </c>
      <c r="F22" s="198">
        <f t="shared" si="2"/>
        <v>0</v>
      </c>
      <c r="G22" s="198">
        <f t="shared" si="0"/>
        <v>50000000</v>
      </c>
      <c r="H22" s="198">
        <f t="shared" si="0"/>
        <v>0</v>
      </c>
      <c r="I22" s="198">
        <v>0</v>
      </c>
      <c r="J22" s="198">
        <v>0</v>
      </c>
    </row>
    <row r="23" spans="1:10" x14ac:dyDescent="0.25">
      <c r="A23" s="196">
        <v>15010</v>
      </c>
      <c r="B23" s="197" t="s">
        <v>219</v>
      </c>
      <c r="C23" s="198">
        <f>+'[3]balance 2022 final los andes '!G21</f>
        <v>0</v>
      </c>
      <c r="D23" s="198">
        <f>+'[3]balance 2022 final los andes '!H21</f>
        <v>0</v>
      </c>
      <c r="E23" s="198">
        <f t="shared" si="1"/>
        <v>0</v>
      </c>
      <c r="F23" s="198">
        <f t="shared" si="2"/>
        <v>0</v>
      </c>
      <c r="G23" s="198">
        <f t="shared" si="0"/>
        <v>0</v>
      </c>
      <c r="H23" s="198">
        <f t="shared" si="0"/>
        <v>0</v>
      </c>
      <c r="I23" s="198">
        <v>0</v>
      </c>
      <c r="J23" s="198">
        <v>0</v>
      </c>
    </row>
    <row r="24" spans="1:10" x14ac:dyDescent="0.25">
      <c r="A24" s="196">
        <v>15015</v>
      </c>
      <c r="B24" s="197" t="s">
        <v>220</v>
      </c>
      <c r="C24" s="198">
        <f>+'[3]balance 2022 final los andes '!G22</f>
        <v>7000000</v>
      </c>
      <c r="D24" s="198">
        <f>+'[3]balance 2022 final los andes '!H22</f>
        <v>0</v>
      </c>
      <c r="E24" s="198">
        <f t="shared" si="1"/>
        <v>7000000</v>
      </c>
      <c r="F24" s="198">
        <f t="shared" si="2"/>
        <v>0</v>
      </c>
      <c r="G24" s="198">
        <f t="shared" si="0"/>
        <v>7000000</v>
      </c>
      <c r="H24" s="198">
        <f t="shared" si="0"/>
        <v>0</v>
      </c>
      <c r="I24" s="198">
        <v>0</v>
      </c>
      <c r="J24" s="198">
        <v>0</v>
      </c>
    </row>
    <row r="25" spans="1:10" x14ac:dyDescent="0.25">
      <c r="A25" s="196">
        <v>15020</v>
      </c>
      <c r="B25" s="197" t="s">
        <v>221</v>
      </c>
      <c r="C25" s="198">
        <f>+'[3]Libro Diario 2023 '!D49</f>
        <v>5800000</v>
      </c>
      <c r="D25" s="198">
        <f>+'[3]balance 2022 final los andes '!H23</f>
        <v>0</v>
      </c>
      <c r="E25" s="198">
        <f t="shared" si="1"/>
        <v>5800000</v>
      </c>
      <c r="F25" s="198">
        <f t="shared" si="2"/>
        <v>0</v>
      </c>
      <c r="G25" s="198">
        <f t="shared" si="0"/>
        <v>5800000</v>
      </c>
      <c r="H25" s="198">
        <f t="shared" si="0"/>
        <v>0</v>
      </c>
      <c r="I25" s="198">
        <v>0</v>
      </c>
      <c r="J25" s="198">
        <v>0</v>
      </c>
    </row>
    <row r="26" spans="1:10" x14ac:dyDescent="0.25">
      <c r="A26" s="196">
        <v>15031</v>
      </c>
      <c r="B26" s="197" t="s">
        <v>222</v>
      </c>
      <c r="C26" s="198">
        <f>+'[3]Libro Diario 2023 '!D197+'[3]Libro Diario 2023 '!D102</f>
        <v>36033614</v>
      </c>
      <c r="D26" s="198">
        <f>+'[3]Libro Diario 2023 '!E130</f>
        <v>22000000</v>
      </c>
      <c r="E26" s="198">
        <f t="shared" si="1"/>
        <v>14033614</v>
      </c>
      <c r="F26" s="198">
        <f t="shared" si="2"/>
        <v>0</v>
      </c>
      <c r="G26" s="198">
        <f t="shared" ref="G26:H46" si="11">IF(E26&gt;0,E26,0)</f>
        <v>14033614</v>
      </c>
      <c r="H26" s="198">
        <f t="shared" si="11"/>
        <v>0</v>
      </c>
      <c r="I26" s="198">
        <v>0</v>
      </c>
      <c r="J26" s="198">
        <v>0</v>
      </c>
    </row>
    <row r="27" spans="1:10" x14ac:dyDescent="0.25">
      <c r="A27" s="196">
        <v>15101</v>
      </c>
      <c r="B27" s="197" t="s">
        <v>223</v>
      </c>
      <c r="C27" s="198">
        <f>+'[3]Libro Diario 2023 '!D77</f>
        <v>100000000</v>
      </c>
      <c r="D27" s="198">
        <f>+'[3]balance 2022 final los andes '!H25</f>
        <v>0</v>
      </c>
      <c r="E27" s="198">
        <f t="shared" si="1"/>
        <v>100000000</v>
      </c>
      <c r="F27" s="198">
        <f t="shared" si="2"/>
        <v>0</v>
      </c>
      <c r="G27" s="198">
        <f t="shared" si="11"/>
        <v>100000000</v>
      </c>
      <c r="H27" s="198">
        <f t="shared" si="11"/>
        <v>0</v>
      </c>
      <c r="I27" s="198">
        <v>0</v>
      </c>
      <c r="J27" s="198">
        <v>0</v>
      </c>
    </row>
    <row r="28" spans="1:10" hidden="1" x14ac:dyDescent="0.25">
      <c r="A28" s="196">
        <v>15102</v>
      </c>
      <c r="B28" s="197" t="s">
        <v>224</v>
      </c>
      <c r="C28" s="198">
        <f>+'[3]balance 2022 final los andes '!G26</f>
        <v>0</v>
      </c>
      <c r="D28" s="198">
        <f>+'[3]balance 2022 final los andes '!H26</f>
        <v>0</v>
      </c>
      <c r="E28" s="198">
        <f t="shared" si="1"/>
        <v>0</v>
      </c>
      <c r="F28" s="198">
        <f t="shared" si="2"/>
        <v>0</v>
      </c>
      <c r="G28" s="198">
        <f t="shared" si="11"/>
        <v>0</v>
      </c>
      <c r="H28" s="198">
        <f t="shared" si="11"/>
        <v>0</v>
      </c>
      <c r="I28" s="198">
        <v>0</v>
      </c>
      <c r="J28" s="198">
        <v>0</v>
      </c>
    </row>
    <row r="29" spans="1:10" x14ac:dyDescent="0.25">
      <c r="A29" s="199">
        <v>15410</v>
      </c>
      <c r="B29" s="197" t="s">
        <v>225</v>
      </c>
      <c r="C29" s="198">
        <f>+'[3]Libro Diario 2023 '!D128</f>
        <v>1145833.3333333333</v>
      </c>
      <c r="D29" s="198">
        <f>+'[3]balance 2022 final los andes '!H27+'[3]Libro Diario 2023 '!E121+'[3]Libro Diario 2023 '!E201+'[3]Libro Diario 2023 '!E232</f>
        <v>13014093.666666666</v>
      </c>
      <c r="E29" s="198">
        <f t="shared" si="1"/>
        <v>0</v>
      </c>
      <c r="F29" s="198">
        <f t="shared" si="2"/>
        <v>11868260.333333332</v>
      </c>
      <c r="G29" s="198">
        <f t="shared" si="11"/>
        <v>0</v>
      </c>
      <c r="H29" s="198">
        <f t="shared" si="11"/>
        <v>11868260.333333332</v>
      </c>
      <c r="I29" s="198">
        <v>0</v>
      </c>
      <c r="J29" s="198">
        <v>0</v>
      </c>
    </row>
    <row r="30" spans="1:10" x14ac:dyDescent="0.25">
      <c r="A30" s="199">
        <v>15420</v>
      </c>
      <c r="B30" s="197" t="s">
        <v>226</v>
      </c>
      <c r="C30" s="198">
        <f>+'[3]balance 2022 final los andes '!G28</f>
        <v>0</v>
      </c>
      <c r="D30" s="198">
        <f>+'[3]Libro Diario 2023 '!E233</f>
        <v>27777777.77777778</v>
      </c>
      <c r="E30" s="198">
        <f t="shared" si="1"/>
        <v>0</v>
      </c>
      <c r="F30" s="198">
        <f t="shared" si="2"/>
        <v>27777777.77777778</v>
      </c>
      <c r="G30" s="198">
        <f t="shared" si="11"/>
        <v>0</v>
      </c>
      <c r="H30" s="198">
        <f t="shared" si="11"/>
        <v>27777777.77777778</v>
      </c>
      <c r="I30" s="198">
        <v>0</v>
      </c>
      <c r="J30" s="198">
        <v>0</v>
      </c>
    </row>
    <row r="31" spans="1:10" x14ac:dyDescent="0.25">
      <c r="A31" s="199">
        <v>18101</v>
      </c>
      <c r="B31" s="197" t="s">
        <v>227</v>
      </c>
      <c r="C31" s="198">
        <f>+'[3]Libro Diario 2023 '!D200</f>
        <v>24896397</v>
      </c>
      <c r="D31" s="198">
        <f>+'[3]balance 2022 final los andes '!H29</f>
        <v>0</v>
      </c>
      <c r="E31" s="198">
        <f t="shared" si="1"/>
        <v>24896397</v>
      </c>
      <c r="F31" s="198">
        <f t="shared" si="2"/>
        <v>0</v>
      </c>
      <c r="G31" s="198">
        <f t="shared" si="11"/>
        <v>24896397</v>
      </c>
      <c r="H31" s="198">
        <f t="shared" si="11"/>
        <v>0</v>
      </c>
      <c r="I31" s="198">
        <v>0</v>
      </c>
      <c r="J31" s="198">
        <v>0</v>
      </c>
    </row>
    <row r="32" spans="1:10" x14ac:dyDescent="0.25">
      <c r="A32" s="199">
        <v>20001</v>
      </c>
      <c r="B32" s="197" t="s">
        <v>228</v>
      </c>
      <c r="C32" s="198">
        <f>+'[3]Libro Diario 2023 '!D183</f>
        <v>21400000</v>
      </c>
      <c r="D32" s="198">
        <f>+'[3]balance 2022 final los andes '!H30+'[3]Libro Diario 2023 '!E205</f>
        <v>76211956</v>
      </c>
      <c r="E32" s="198">
        <f t="shared" si="1"/>
        <v>0</v>
      </c>
      <c r="F32" s="198">
        <f t="shared" si="2"/>
        <v>54811956</v>
      </c>
      <c r="G32" s="198">
        <f t="shared" si="11"/>
        <v>0</v>
      </c>
      <c r="H32" s="198">
        <f t="shared" si="11"/>
        <v>54811956</v>
      </c>
      <c r="I32" s="198">
        <v>0</v>
      </c>
      <c r="J32" s="198">
        <v>0</v>
      </c>
    </row>
    <row r="33" spans="1:10" x14ac:dyDescent="0.25">
      <c r="A33" s="199">
        <v>20021</v>
      </c>
      <c r="B33" s="197" t="s">
        <v>229</v>
      </c>
      <c r="C33" s="198">
        <f>+'[3]Libro Diario 2023 '!D80</f>
        <v>23267787.557504077</v>
      </c>
      <c r="D33" s="198">
        <f>+'[3]Libro Diario 2023 '!E78</f>
        <v>100000000</v>
      </c>
      <c r="E33" s="198">
        <f t="shared" si="1"/>
        <v>0</v>
      </c>
      <c r="F33" s="198">
        <f t="shared" si="2"/>
        <v>76732212.442495927</v>
      </c>
      <c r="G33" s="198">
        <f t="shared" si="11"/>
        <v>0</v>
      </c>
      <c r="H33" s="198">
        <f t="shared" si="11"/>
        <v>76732212.442495927</v>
      </c>
      <c r="I33" s="198">
        <v>0</v>
      </c>
      <c r="J33" s="198">
        <v>0</v>
      </c>
    </row>
    <row r="34" spans="1:10" x14ac:dyDescent="0.25">
      <c r="A34" s="199">
        <v>20151</v>
      </c>
      <c r="B34" s="197" t="s">
        <v>230</v>
      </c>
      <c r="C34" s="198">
        <f>+'[3]Libro Diario 2023 '!D71+'[3]Libro Diario 2023 '!D53+'[3]Libro Diario 2023 '!D216</f>
        <v>114608000</v>
      </c>
      <c r="D34" s="198">
        <f>+'[3]balance 2022 final los andes '!H32+'[3]Libro Diario 2023 '!E67+'[3]Libro Diario 2023 '!E125+'[3]Libro Diario 2023 '!E165+'[3]Libro Diario 2023 '!E203</f>
        <v>114925694</v>
      </c>
      <c r="E34" s="198">
        <f t="shared" si="1"/>
        <v>0</v>
      </c>
      <c r="F34" s="198">
        <f t="shared" si="2"/>
        <v>317694</v>
      </c>
      <c r="G34" s="198">
        <f t="shared" si="11"/>
        <v>0</v>
      </c>
      <c r="H34" s="198">
        <f t="shared" si="11"/>
        <v>317694</v>
      </c>
      <c r="I34" s="198">
        <v>0</v>
      </c>
      <c r="J34" s="198">
        <v>0</v>
      </c>
    </row>
    <row r="35" spans="1:10" x14ac:dyDescent="0.25">
      <c r="A35" s="196" t="s">
        <v>231</v>
      </c>
      <c r="B35" s="197" t="s">
        <v>232</v>
      </c>
      <c r="C35" s="198">
        <f>+'[3]Libro Diario 2023 '!D187+'[3]Libro Diario 2023 '!D213</f>
        <v>262410000</v>
      </c>
      <c r="D35" s="198">
        <f>+'[3]balance 2022 final los andes '!H33+'[3]Libro Diario 2023 '!E144+'[3]Libro Diario 2023 '!E192+'[3]Libro Diario 2023 '!E202</f>
        <v>457016974</v>
      </c>
      <c r="E35" s="198">
        <f t="shared" si="1"/>
        <v>0</v>
      </c>
      <c r="F35" s="198">
        <f t="shared" si="2"/>
        <v>194606974</v>
      </c>
      <c r="G35" s="198">
        <f t="shared" si="11"/>
        <v>0</v>
      </c>
      <c r="H35" s="198">
        <f t="shared" si="11"/>
        <v>194606974</v>
      </c>
      <c r="I35" s="198">
        <v>0</v>
      </c>
      <c r="J35" s="198">
        <v>0</v>
      </c>
    </row>
    <row r="36" spans="1:10" x14ac:dyDescent="0.25">
      <c r="A36" s="196">
        <v>21002</v>
      </c>
      <c r="B36" s="197" t="s">
        <v>233</v>
      </c>
      <c r="C36" s="198">
        <f>+'[3]balance 2022 final los andes '!G34</f>
        <v>0</v>
      </c>
      <c r="D36" s="198">
        <f>+'[3]balance 2022 final los andes '!H34</f>
        <v>15478000</v>
      </c>
      <c r="E36" s="198">
        <f t="shared" si="1"/>
        <v>0</v>
      </c>
      <c r="F36" s="198">
        <f t="shared" si="2"/>
        <v>15478000</v>
      </c>
      <c r="G36" s="198">
        <f t="shared" si="11"/>
        <v>0</v>
      </c>
      <c r="H36" s="198">
        <f t="shared" si="11"/>
        <v>15478000</v>
      </c>
      <c r="I36" s="198">
        <v>0</v>
      </c>
      <c r="J36" s="198">
        <v>0</v>
      </c>
    </row>
    <row r="37" spans="1:10" x14ac:dyDescent="0.25">
      <c r="A37" s="431">
        <v>22001</v>
      </c>
      <c r="B37" s="429" t="s">
        <v>234</v>
      </c>
      <c r="C37" s="430">
        <f>+'LIBRO REMUNERACIONES'!AC98-'LIBRO REMUNERACIONES'!AC95</f>
        <v>26461898</v>
      </c>
      <c r="D37" s="430">
        <f>+'LIBRO REMUNERACIONES'!S111</f>
        <v>28707048</v>
      </c>
      <c r="E37" s="430">
        <f t="shared" si="1"/>
        <v>0</v>
      </c>
      <c r="F37" s="430">
        <f t="shared" si="2"/>
        <v>2245150</v>
      </c>
      <c r="G37" s="430">
        <f t="shared" si="11"/>
        <v>0</v>
      </c>
      <c r="H37" s="430">
        <f t="shared" si="11"/>
        <v>2245150</v>
      </c>
      <c r="I37" s="430">
        <v>0</v>
      </c>
      <c r="J37" s="430">
        <v>0</v>
      </c>
    </row>
    <row r="38" spans="1:10" x14ac:dyDescent="0.25">
      <c r="A38" s="431">
        <v>22002</v>
      </c>
      <c r="B38" s="429" t="s">
        <v>235</v>
      </c>
      <c r="C38" s="430">
        <f>+'certificado sueldo'!C186-'certificado sueldo'!C184+'certificado sueldo'!Q186-'certificado sueldo'!Q184+'LIBRO REMUNERACIONES'!P98-'LIBRO REMUNERACIONES'!P95</f>
        <v>7848869.1798</v>
      </c>
      <c r="D38" s="430">
        <f>+'LIBRO REMUNERACIONES'!S107</f>
        <v>8321031.2665999997</v>
      </c>
      <c r="E38" s="430">
        <f t="shared" si="1"/>
        <v>0</v>
      </c>
      <c r="F38" s="430">
        <f t="shared" si="2"/>
        <v>472162.0867999997</v>
      </c>
      <c r="G38" s="430">
        <f t="shared" si="11"/>
        <v>0</v>
      </c>
      <c r="H38" s="430">
        <f t="shared" si="11"/>
        <v>472162.0867999997</v>
      </c>
      <c r="I38" s="430">
        <v>0</v>
      </c>
      <c r="J38" s="430">
        <v>0</v>
      </c>
    </row>
    <row r="39" spans="1:10" x14ac:dyDescent="0.25">
      <c r="A39" s="431">
        <v>22051</v>
      </c>
      <c r="B39" s="429" t="s">
        <v>378</v>
      </c>
      <c r="C39" s="430">
        <f>+'certificado sueldo'!E186-'certificado sueldo'!E184</f>
        <v>180869</v>
      </c>
      <c r="D39" s="430">
        <f>+'LIBRO REMUNERACIONES'!S108</f>
        <v>205178</v>
      </c>
      <c r="E39" s="430">
        <f t="shared" si="1"/>
        <v>0</v>
      </c>
      <c r="F39" s="430">
        <f t="shared" si="2"/>
        <v>24309</v>
      </c>
      <c r="G39" s="430">
        <f t="shared" si="11"/>
        <v>0</v>
      </c>
      <c r="H39" s="430">
        <f t="shared" si="11"/>
        <v>24309</v>
      </c>
      <c r="I39" s="430">
        <v>0</v>
      </c>
      <c r="J39" s="430">
        <v>0</v>
      </c>
    </row>
    <row r="40" spans="1:10" x14ac:dyDescent="0.25">
      <c r="A40" s="200">
        <v>22070</v>
      </c>
      <c r="B40" s="197" t="s">
        <v>389</v>
      </c>
      <c r="C40" s="198">
        <f>+'[3]Libro Diario 2023 '!D99+'[3]Libro Diario 2023 '!D224</f>
        <v>125000000</v>
      </c>
      <c r="D40" s="198">
        <f>+'[3]Libro Diario 2023 '!E97</f>
        <v>171950049.99999997</v>
      </c>
      <c r="E40" s="198">
        <f t="shared" si="1"/>
        <v>0</v>
      </c>
      <c r="F40" s="198">
        <f t="shared" si="2"/>
        <v>46950049.99999997</v>
      </c>
      <c r="G40" s="198">
        <f t="shared" si="11"/>
        <v>0</v>
      </c>
      <c r="H40" s="198">
        <f t="shared" si="11"/>
        <v>46950049.99999997</v>
      </c>
      <c r="I40" s="198">
        <v>0</v>
      </c>
      <c r="J40" s="198">
        <v>0</v>
      </c>
    </row>
    <row r="41" spans="1:10" x14ac:dyDescent="0.25">
      <c r="A41" s="200">
        <v>23001</v>
      </c>
      <c r="B41" s="197" t="s">
        <v>236</v>
      </c>
      <c r="C41" s="198">
        <f>+'[3]balance 2022 final los andes '!G39</f>
        <v>0</v>
      </c>
      <c r="D41" s="198">
        <f>+'[3]Libro Diario 2023 '!E164</f>
        <v>1000000</v>
      </c>
      <c r="E41" s="198">
        <f t="shared" si="1"/>
        <v>0</v>
      </c>
      <c r="F41" s="198">
        <f t="shared" si="2"/>
        <v>1000000</v>
      </c>
      <c r="G41" s="198">
        <f t="shared" si="11"/>
        <v>0</v>
      </c>
      <c r="H41" s="198">
        <f t="shared" si="11"/>
        <v>1000000</v>
      </c>
      <c r="I41" s="198">
        <v>0</v>
      </c>
      <c r="J41" s="198">
        <v>0</v>
      </c>
    </row>
    <row r="42" spans="1:10" x14ac:dyDescent="0.25">
      <c r="A42" s="199">
        <v>24001</v>
      </c>
      <c r="B42" s="197" t="s">
        <v>237</v>
      </c>
      <c r="C42" s="198">
        <f>+'[3]balance 2022 final los andes '!G40</f>
        <v>0</v>
      </c>
      <c r="D42" s="198">
        <f>+'[3]balance 2022 final los andes '!H40</f>
        <v>0</v>
      </c>
      <c r="E42" s="198">
        <f t="shared" si="1"/>
        <v>0</v>
      </c>
      <c r="F42" s="198">
        <f t="shared" si="2"/>
        <v>0</v>
      </c>
      <c r="G42" s="198">
        <f t="shared" si="11"/>
        <v>0</v>
      </c>
      <c r="H42" s="198">
        <f t="shared" si="11"/>
        <v>0</v>
      </c>
      <c r="I42" s="198">
        <v>0</v>
      </c>
      <c r="J42" s="198">
        <v>0</v>
      </c>
    </row>
    <row r="43" spans="1:10" x14ac:dyDescent="0.25">
      <c r="A43" s="200">
        <v>24002</v>
      </c>
      <c r="B43" s="197" t="s">
        <v>238</v>
      </c>
      <c r="C43" s="198">
        <f>+'[3]balance 2022 final los andes '!G41</f>
        <v>0</v>
      </c>
      <c r="D43" s="198">
        <f>+'[3]Libro Diario 2023 '!E181</f>
        <v>790000</v>
      </c>
      <c r="E43" s="198">
        <f t="shared" si="1"/>
        <v>0</v>
      </c>
      <c r="F43" s="198">
        <f t="shared" si="2"/>
        <v>790000</v>
      </c>
      <c r="G43" s="198">
        <f t="shared" si="11"/>
        <v>0</v>
      </c>
      <c r="H43" s="198">
        <f t="shared" si="11"/>
        <v>790000</v>
      </c>
      <c r="I43" s="198">
        <v>0</v>
      </c>
      <c r="J43" s="198">
        <v>0</v>
      </c>
    </row>
    <row r="44" spans="1:10" x14ac:dyDescent="0.25">
      <c r="A44" s="200">
        <v>24010</v>
      </c>
      <c r="B44" s="197" t="s">
        <v>239</v>
      </c>
      <c r="C44" s="198">
        <f>+'[3]Libro Diario 2023 '!D54</f>
        <v>2556000</v>
      </c>
      <c r="D44" s="198">
        <f>+'[3]balance 2022 final los andes '!H42+'[3]Libro Diario 2023 '!E204+'[3]Libro Diario 2023 '!E222</f>
        <v>2759756</v>
      </c>
      <c r="E44" s="198">
        <f t="shared" si="1"/>
        <v>0</v>
      </c>
      <c r="F44" s="198">
        <f t="shared" si="2"/>
        <v>203756</v>
      </c>
      <c r="G44" s="198">
        <f t="shared" si="11"/>
        <v>0</v>
      </c>
      <c r="H44" s="198">
        <f t="shared" si="11"/>
        <v>203756</v>
      </c>
      <c r="I44" s="198">
        <v>0</v>
      </c>
      <c r="J44" s="198">
        <v>0</v>
      </c>
    </row>
    <row r="45" spans="1:10" x14ac:dyDescent="0.25">
      <c r="A45" s="196">
        <v>24015</v>
      </c>
      <c r="B45" s="197" t="s">
        <v>240</v>
      </c>
      <c r="C45" s="198">
        <f>+'[3]Libro Diario 2023 '!D156</f>
        <v>950499.99999999988</v>
      </c>
      <c r="D45" s="198">
        <f>+'[3]balance 2022 final los andes '!H43+'[3]Libro Diario 2023 '!E239</f>
        <v>2165500</v>
      </c>
      <c r="E45" s="198">
        <f t="shared" si="1"/>
        <v>0</v>
      </c>
      <c r="F45" s="198">
        <f t="shared" si="2"/>
        <v>1215000</v>
      </c>
      <c r="G45" s="198">
        <f t="shared" si="11"/>
        <v>0</v>
      </c>
      <c r="H45" s="198">
        <f t="shared" si="11"/>
        <v>1215000</v>
      </c>
      <c r="I45" s="198">
        <v>0</v>
      </c>
      <c r="J45" s="198">
        <v>0</v>
      </c>
    </row>
    <row r="46" spans="1:10" x14ac:dyDescent="0.25">
      <c r="A46" s="200">
        <v>25001</v>
      </c>
      <c r="B46" s="197" t="s">
        <v>241</v>
      </c>
      <c r="C46" s="198">
        <f>+'[3]balance 2022 final los andes '!G44</f>
        <v>0</v>
      </c>
      <c r="D46" s="198">
        <f>+'[3]balance 2022 final los andes '!H44</f>
        <v>0</v>
      </c>
      <c r="E46" s="198">
        <f t="shared" si="1"/>
        <v>0</v>
      </c>
      <c r="F46" s="198">
        <f t="shared" si="2"/>
        <v>0</v>
      </c>
      <c r="G46" s="198">
        <f t="shared" si="11"/>
        <v>0</v>
      </c>
      <c r="H46" s="198">
        <f t="shared" si="11"/>
        <v>0</v>
      </c>
      <c r="I46" s="198">
        <v>0</v>
      </c>
      <c r="J46" s="198">
        <v>0</v>
      </c>
    </row>
    <row r="47" spans="1:10" x14ac:dyDescent="0.25">
      <c r="A47" s="196">
        <v>33001</v>
      </c>
      <c r="B47" s="197" t="s">
        <v>242</v>
      </c>
      <c r="C47" s="198">
        <f>+'[3]balance 2022 final los andes '!G45</f>
        <v>0</v>
      </c>
      <c r="D47" s="198">
        <f>+'[3]balance 2022 final los andes '!H45</f>
        <v>200000000</v>
      </c>
      <c r="E47" s="198">
        <f t="shared" si="1"/>
        <v>0</v>
      </c>
      <c r="F47" s="198">
        <f t="shared" si="2"/>
        <v>200000000</v>
      </c>
      <c r="G47" s="198">
        <f t="shared" ref="G47:H50" si="12">IF(E47&gt;0,E47,0)</f>
        <v>0</v>
      </c>
      <c r="H47" s="198">
        <f t="shared" si="12"/>
        <v>200000000</v>
      </c>
      <c r="I47" s="198">
        <v>0</v>
      </c>
      <c r="J47" s="198">
        <v>0</v>
      </c>
    </row>
    <row r="48" spans="1:10" x14ac:dyDescent="0.25">
      <c r="A48" s="196">
        <v>33011</v>
      </c>
      <c r="B48" s="197" t="s">
        <v>243</v>
      </c>
      <c r="C48" s="198">
        <f>+'[3]balance 2022 final los andes '!G48</f>
        <v>0</v>
      </c>
      <c r="D48" s="198">
        <f>+'[3]balance 2022 final los andes '!H48</f>
        <v>112500000</v>
      </c>
      <c r="E48" s="198">
        <f t="shared" si="1"/>
        <v>0</v>
      </c>
      <c r="F48" s="198">
        <f t="shared" si="2"/>
        <v>112500000</v>
      </c>
      <c r="G48" s="198">
        <f t="shared" si="12"/>
        <v>0</v>
      </c>
      <c r="H48" s="198">
        <f t="shared" si="12"/>
        <v>112500000</v>
      </c>
      <c r="I48" s="198">
        <v>0</v>
      </c>
      <c r="J48" s="198">
        <v>0</v>
      </c>
    </row>
    <row r="49" spans="1:10" x14ac:dyDescent="0.25">
      <c r="A49" s="199">
        <v>35001</v>
      </c>
      <c r="B49" s="197" t="s">
        <v>244</v>
      </c>
      <c r="C49" s="198">
        <f>+'[3]Libro Diario 2023 '!D45</f>
        <v>573166833.33333325</v>
      </c>
      <c r="D49" s="198">
        <f>+'[3]balance 2022 final los andes '!H76</f>
        <v>573166833.33333337</v>
      </c>
      <c r="E49" s="198">
        <f t="shared" si="1"/>
        <v>0</v>
      </c>
      <c r="F49" s="198">
        <f t="shared" si="2"/>
        <v>1.1920928955078125E-7</v>
      </c>
      <c r="G49" s="198">
        <f t="shared" si="12"/>
        <v>0</v>
      </c>
      <c r="H49" s="198">
        <f t="shared" si="12"/>
        <v>1.1920928955078125E-7</v>
      </c>
      <c r="I49" s="198">
        <v>0</v>
      </c>
      <c r="J49" s="198">
        <v>0</v>
      </c>
    </row>
    <row r="50" spans="1:10" x14ac:dyDescent="0.25">
      <c r="A50" s="199">
        <v>36001</v>
      </c>
      <c r="B50" s="197" t="s">
        <v>245</v>
      </c>
      <c r="C50" s="198">
        <f>+'[3]Libro Diario 2023 '!D96</f>
        <v>171950049.99999997</v>
      </c>
      <c r="D50" s="198">
        <f>+'[3]Libro Diario 2023 '!E46</f>
        <v>573166833.33333325</v>
      </c>
      <c r="E50" s="198">
        <f t="shared" si="1"/>
        <v>0</v>
      </c>
      <c r="F50" s="198">
        <f t="shared" si="2"/>
        <v>401216783.33333325</v>
      </c>
      <c r="G50" s="198">
        <f t="shared" si="12"/>
        <v>0</v>
      </c>
      <c r="H50" s="198">
        <f t="shared" si="12"/>
        <v>401216783.33333325</v>
      </c>
      <c r="I50" s="198">
        <v>0</v>
      </c>
      <c r="J50" s="198">
        <v>0</v>
      </c>
    </row>
    <row r="51" spans="1:10" x14ac:dyDescent="0.25">
      <c r="A51" s="199">
        <v>41001</v>
      </c>
      <c r="B51" s="197" t="s">
        <v>246</v>
      </c>
      <c r="C51" s="198">
        <f>+'[3]Libro Diario 2023 '!D68</f>
        <v>250000000</v>
      </c>
      <c r="D51" s="198"/>
      <c r="E51" s="198">
        <f t="shared" ref="E51:E80" si="13">IF(C51&gt;D51,(C51-D51),0)</f>
        <v>250000000</v>
      </c>
      <c r="F51" s="198">
        <f t="shared" ref="F51:F80" si="14">IF(D51&gt;C51,D51-C51,0)</f>
        <v>0</v>
      </c>
      <c r="G51" s="198"/>
      <c r="H51" s="198"/>
      <c r="I51" s="198">
        <f t="shared" ref="I51:I80" si="15">IF(E51&gt;F51,E51,0)</f>
        <v>250000000</v>
      </c>
      <c r="J51" s="198">
        <v>0</v>
      </c>
    </row>
    <row r="52" spans="1:10" x14ac:dyDescent="0.25">
      <c r="A52" s="428">
        <v>42001</v>
      </c>
      <c r="B52" s="429" t="s">
        <v>247</v>
      </c>
      <c r="C52" s="430">
        <f>+'LIBRO REMUNERACIONES'!R103</f>
        <v>34356210</v>
      </c>
      <c r="D52" s="430"/>
      <c r="E52" s="430">
        <f t="shared" si="13"/>
        <v>34356210</v>
      </c>
      <c r="F52" s="430">
        <f t="shared" si="14"/>
        <v>0</v>
      </c>
      <c r="G52" s="430"/>
      <c r="H52" s="430"/>
      <c r="I52" s="430">
        <f t="shared" si="15"/>
        <v>34356210</v>
      </c>
      <c r="J52" s="430">
        <f t="shared" ref="J52:J80" si="16">IF(F52&gt;E52,F52,0)</f>
        <v>0</v>
      </c>
    </row>
    <row r="53" spans="1:10" x14ac:dyDescent="0.25">
      <c r="A53" s="428">
        <v>42002</v>
      </c>
      <c r="B53" s="429" t="s">
        <v>248</v>
      </c>
      <c r="C53" s="430">
        <f>+'LIBRO REMUNERACIONES'!R105</f>
        <v>1700313.2666</v>
      </c>
      <c r="D53" s="430"/>
      <c r="E53" s="430">
        <f t="shared" si="13"/>
        <v>1700313.2666</v>
      </c>
      <c r="F53" s="430">
        <f t="shared" si="14"/>
        <v>0</v>
      </c>
      <c r="G53" s="430"/>
      <c r="H53" s="430"/>
      <c r="I53" s="430">
        <f t="shared" si="15"/>
        <v>1700313.2666</v>
      </c>
      <c r="J53" s="430">
        <f t="shared" si="16"/>
        <v>0</v>
      </c>
    </row>
    <row r="54" spans="1:10" x14ac:dyDescent="0.25">
      <c r="A54" s="428">
        <v>42003</v>
      </c>
      <c r="B54" s="429" t="s">
        <v>379</v>
      </c>
      <c r="C54" s="430">
        <f>+'LIBRO REMUNERACIONES'!R104</f>
        <v>2400000</v>
      </c>
      <c r="D54" s="430"/>
      <c r="E54" s="430">
        <f t="shared" ref="E54" si="17">IF(C54&gt;D54,(C54-D54),0)</f>
        <v>2400000</v>
      </c>
      <c r="F54" s="430">
        <f t="shared" ref="F54" si="18">IF(D54&gt;C54,D54-C54,0)</f>
        <v>0</v>
      </c>
      <c r="G54" s="430"/>
      <c r="H54" s="430"/>
      <c r="I54" s="430">
        <f t="shared" ref="I54" si="19">IF(E54&gt;F54,E54,0)</f>
        <v>2400000</v>
      </c>
      <c r="J54" s="430">
        <f t="shared" ref="J54" si="20">IF(F54&gt;E54,F54,0)</f>
        <v>0</v>
      </c>
    </row>
    <row r="55" spans="1:10" x14ac:dyDescent="0.25">
      <c r="A55" s="428">
        <v>42011</v>
      </c>
      <c r="B55" s="429" t="s">
        <v>377</v>
      </c>
      <c r="C55" s="430">
        <f>+antecedentes!D13</f>
        <v>1404400</v>
      </c>
      <c r="D55" s="430"/>
      <c r="E55" s="430">
        <f t="shared" si="13"/>
        <v>1404400</v>
      </c>
      <c r="F55" s="430">
        <f t="shared" si="14"/>
        <v>0</v>
      </c>
      <c r="G55" s="430"/>
      <c r="H55" s="430"/>
      <c r="I55" s="430">
        <f t="shared" si="15"/>
        <v>1404400</v>
      </c>
      <c r="J55" s="430">
        <f t="shared" si="16"/>
        <v>0</v>
      </c>
    </row>
    <row r="56" spans="1:10" hidden="1" x14ac:dyDescent="0.25">
      <c r="A56" s="199">
        <v>42051</v>
      </c>
      <c r="B56" s="197" t="s">
        <v>249</v>
      </c>
      <c r="C56" s="198"/>
      <c r="D56" s="198"/>
      <c r="E56" s="198">
        <f t="shared" si="13"/>
        <v>0</v>
      </c>
      <c r="F56" s="198">
        <f t="shared" si="14"/>
        <v>0</v>
      </c>
      <c r="G56" s="198"/>
      <c r="H56" s="198"/>
      <c r="I56" s="198">
        <f t="shared" si="15"/>
        <v>0</v>
      </c>
      <c r="J56" s="198">
        <f t="shared" si="16"/>
        <v>0</v>
      </c>
    </row>
    <row r="57" spans="1:10" x14ac:dyDescent="0.25">
      <c r="A57" s="199">
        <v>43001</v>
      </c>
      <c r="B57" s="197" t="s">
        <v>250</v>
      </c>
      <c r="C57" s="198">
        <f>+'[3]Libro Diario 2023 '!D180</f>
        <v>790000</v>
      </c>
      <c r="D57" s="198"/>
      <c r="E57" s="198">
        <f t="shared" si="13"/>
        <v>790000</v>
      </c>
      <c r="F57" s="198">
        <f t="shared" si="14"/>
        <v>0</v>
      </c>
      <c r="G57" s="198"/>
      <c r="H57" s="198"/>
      <c r="I57" s="198">
        <f t="shared" si="15"/>
        <v>790000</v>
      </c>
      <c r="J57" s="198">
        <f t="shared" si="16"/>
        <v>0</v>
      </c>
    </row>
    <row r="58" spans="1:10" x14ac:dyDescent="0.25">
      <c r="A58" s="199">
        <v>43002</v>
      </c>
      <c r="B58" s="197" t="s">
        <v>251</v>
      </c>
      <c r="C58" s="198">
        <f>+'[3]Libro Diario 2023 '!D106</f>
        <v>280000</v>
      </c>
      <c r="D58" s="198"/>
      <c r="E58" s="198">
        <f t="shared" si="13"/>
        <v>280000</v>
      </c>
      <c r="F58" s="198">
        <f t="shared" si="14"/>
        <v>0</v>
      </c>
      <c r="G58" s="198"/>
      <c r="H58" s="198"/>
      <c r="I58" s="198">
        <f t="shared" si="15"/>
        <v>280000</v>
      </c>
      <c r="J58" s="198">
        <f t="shared" si="16"/>
        <v>0</v>
      </c>
    </row>
    <row r="59" spans="1:10" x14ac:dyDescent="0.25">
      <c r="A59" s="199">
        <v>43003</v>
      </c>
      <c r="B59" s="197" t="s">
        <v>252</v>
      </c>
      <c r="C59" s="198">
        <f>+'[3]Libro Diario 2023 '!D190</f>
        <v>2000000</v>
      </c>
      <c r="D59" s="198"/>
      <c r="E59" s="198">
        <f t="shared" si="13"/>
        <v>2000000</v>
      </c>
      <c r="F59" s="198">
        <f t="shared" si="14"/>
        <v>0</v>
      </c>
      <c r="G59" s="198"/>
      <c r="H59" s="198"/>
      <c r="I59" s="198">
        <f t="shared" si="15"/>
        <v>2000000</v>
      </c>
      <c r="J59" s="198">
        <f t="shared" si="16"/>
        <v>0</v>
      </c>
    </row>
    <row r="60" spans="1:10" hidden="1" x14ac:dyDescent="0.25">
      <c r="A60" s="199" t="s">
        <v>253</v>
      </c>
      <c r="B60" s="197" t="s">
        <v>254</v>
      </c>
      <c r="C60" s="198"/>
      <c r="D60" s="198"/>
      <c r="E60" s="198">
        <f t="shared" si="13"/>
        <v>0</v>
      </c>
      <c r="F60" s="198">
        <f t="shared" si="14"/>
        <v>0</v>
      </c>
      <c r="G60" s="198"/>
      <c r="H60" s="198"/>
      <c r="I60" s="198">
        <f t="shared" si="15"/>
        <v>0</v>
      </c>
      <c r="J60" s="198">
        <f t="shared" si="16"/>
        <v>0</v>
      </c>
    </row>
    <row r="61" spans="1:10" x14ac:dyDescent="0.25">
      <c r="A61" s="199" t="s">
        <v>255</v>
      </c>
      <c r="B61" s="197" t="s">
        <v>256</v>
      </c>
      <c r="C61" s="198"/>
      <c r="D61" s="198"/>
      <c r="E61" s="198">
        <f t="shared" si="13"/>
        <v>0</v>
      </c>
      <c r="F61" s="198">
        <f t="shared" si="14"/>
        <v>0</v>
      </c>
      <c r="G61" s="198"/>
      <c r="H61" s="198"/>
      <c r="I61" s="198">
        <f t="shared" si="15"/>
        <v>0</v>
      </c>
      <c r="J61" s="198">
        <f t="shared" si="16"/>
        <v>0</v>
      </c>
    </row>
    <row r="62" spans="1:10" hidden="1" x14ac:dyDescent="0.25">
      <c r="A62" s="199">
        <v>45101</v>
      </c>
      <c r="B62" s="197" t="s">
        <v>257</v>
      </c>
      <c r="C62" s="198"/>
      <c r="D62" s="198"/>
      <c r="E62" s="198">
        <f t="shared" si="13"/>
        <v>0</v>
      </c>
      <c r="F62" s="198">
        <f t="shared" si="14"/>
        <v>0</v>
      </c>
      <c r="G62" s="198"/>
      <c r="H62" s="198"/>
      <c r="I62" s="198">
        <f t="shared" si="15"/>
        <v>0</v>
      </c>
      <c r="J62" s="198">
        <f t="shared" si="16"/>
        <v>0</v>
      </c>
    </row>
    <row r="63" spans="1:10" hidden="1" x14ac:dyDescent="0.25">
      <c r="A63" s="199">
        <v>46001</v>
      </c>
      <c r="B63" s="197" t="s">
        <v>258</v>
      </c>
      <c r="C63" s="198"/>
      <c r="D63" s="198"/>
      <c r="E63" s="198">
        <f t="shared" si="13"/>
        <v>0</v>
      </c>
      <c r="F63" s="198">
        <f t="shared" si="14"/>
        <v>0</v>
      </c>
      <c r="G63" s="198"/>
      <c r="H63" s="198"/>
      <c r="I63" s="198">
        <f t="shared" si="15"/>
        <v>0</v>
      </c>
      <c r="J63" s="198">
        <f t="shared" si="16"/>
        <v>0</v>
      </c>
    </row>
    <row r="64" spans="1:10" x14ac:dyDescent="0.25">
      <c r="A64" s="199">
        <v>47141</v>
      </c>
      <c r="B64" s="197" t="s">
        <v>259</v>
      </c>
      <c r="C64" s="198">
        <f>+'[3]Libro Diario 2023 '!D175</f>
        <v>7740000</v>
      </c>
      <c r="D64" s="198"/>
      <c r="E64" s="198">
        <f t="shared" si="13"/>
        <v>7740000</v>
      </c>
      <c r="F64" s="198">
        <f t="shared" si="14"/>
        <v>0</v>
      </c>
      <c r="G64" s="198"/>
      <c r="H64" s="198"/>
      <c r="I64" s="198">
        <f t="shared" si="15"/>
        <v>7740000</v>
      </c>
      <c r="J64" s="198">
        <f t="shared" si="16"/>
        <v>0</v>
      </c>
    </row>
    <row r="65" spans="1:10" x14ac:dyDescent="0.25">
      <c r="A65" s="199">
        <v>47142</v>
      </c>
      <c r="B65" s="197" t="s">
        <v>260</v>
      </c>
      <c r="C65" s="198">
        <f>+'[3]Libro Diario 2023 '!D241</f>
        <v>5135000</v>
      </c>
      <c r="D65" s="198"/>
      <c r="E65" s="198">
        <f t="shared" si="13"/>
        <v>5135000</v>
      </c>
      <c r="F65" s="198">
        <f t="shared" si="14"/>
        <v>0</v>
      </c>
      <c r="G65" s="198"/>
      <c r="H65" s="198"/>
      <c r="I65" s="198">
        <f t="shared" si="15"/>
        <v>5135000</v>
      </c>
      <c r="J65" s="198">
        <f t="shared" si="16"/>
        <v>0</v>
      </c>
    </row>
    <row r="66" spans="1:10" x14ac:dyDescent="0.25">
      <c r="A66" s="199">
        <v>47151</v>
      </c>
      <c r="B66" s="197" t="s">
        <v>261</v>
      </c>
      <c r="C66" s="198">
        <f>+'[3]Libro Diario 2023 '!D167</f>
        <v>11698191.155000001</v>
      </c>
      <c r="D66" s="198"/>
      <c r="E66" s="198">
        <f t="shared" si="13"/>
        <v>11698191.155000001</v>
      </c>
      <c r="F66" s="198">
        <f t="shared" si="14"/>
        <v>0</v>
      </c>
      <c r="G66" s="198"/>
      <c r="H66" s="198"/>
      <c r="I66" s="198">
        <f t="shared" si="15"/>
        <v>11698191.155000001</v>
      </c>
      <c r="J66" s="198">
        <f t="shared" si="16"/>
        <v>0</v>
      </c>
    </row>
    <row r="67" spans="1:10" x14ac:dyDescent="0.25">
      <c r="A67" s="199">
        <v>47152</v>
      </c>
      <c r="B67" s="197" t="s">
        <v>262</v>
      </c>
      <c r="C67" s="198">
        <f>+'[3]Libro Diario 2023 '!D171</f>
        <v>850000</v>
      </c>
      <c r="D67" s="198"/>
      <c r="E67" s="198">
        <f t="shared" si="13"/>
        <v>850000</v>
      </c>
      <c r="F67" s="198">
        <f t="shared" si="14"/>
        <v>0</v>
      </c>
      <c r="G67" s="198"/>
      <c r="H67" s="198"/>
      <c r="I67" s="198">
        <f t="shared" si="15"/>
        <v>850000</v>
      </c>
      <c r="J67" s="198">
        <f t="shared" si="16"/>
        <v>0</v>
      </c>
    </row>
    <row r="68" spans="1:10" x14ac:dyDescent="0.25">
      <c r="A68" s="199">
        <v>48001</v>
      </c>
      <c r="B68" s="197" t="s">
        <v>263</v>
      </c>
      <c r="C68" s="198">
        <f>+'[3]Libro Diario 2023 '!D139</f>
        <v>4000000</v>
      </c>
      <c r="D68" s="198"/>
      <c r="E68" s="198">
        <f t="shared" si="13"/>
        <v>4000000</v>
      </c>
      <c r="F68" s="198">
        <f t="shared" si="14"/>
        <v>0</v>
      </c>
      <c r="G68" s="198"/>
      <c r="H68" s="198"/>
      <c r="I68" s="198">
        <f t="shared" si="15"/>
        <v>4000000</v>
      </c>
      <c r="J68" s="198">
        <f t="shared" si="16"/>
        <v>0</v>
      </c>
    </row>
    <row r="69" spans="1:10" x14ac:dyDescent="0.25">
      <c r="A69" s="199">
        <v>48101</v>
      </c>
      <c r="B69" s="197" t="s">
        <v>264</v>
      </c>
      <c r="C69" s="198">
        <f>+'[3]Libro Diario 2023 '!D116+'[3]Libro Diario 2023 '!D89</f>
        <v>4150000</v>
      </c>
      <c r="D69" s="198"/>
      <c r="E69" s="198">
        <f t="shared" si="13"/>
        <v>4150000</v>
      </c>
      <c r="F69" s="198">
        <f t="shared" si="14"/>
        <v>0</v>
      </c>
      <c r="G69" s="198"/>
      <c r="H69" s="198"/>
      <c r="I69" s="198">
        <f t="shared" si="15"/>
        <v>4150000</v>
      </c>
      <c r="J69" s="198">
        <f t="shared" si="16"/>
        <v>0</v>
      </c>
    </row>
    <row r="70" spans="1:10" x14ac:dyDescent="0.25">
      <c r="A70" s="199">
        <v>48150</v>
      </c>
      <c r="B70" s="197" t="s">
        <v>265</v>
      </c>
      <c r="C70" s="198">
        <f>+'[3]Libro Diario 2023 '!D81</f>
        <v>11732212.442495923</v>
      </c>
      <c r="D70" s="198"/>
      <c r="E70" s="198">
        <f t="shared" si="13"/>
        <v>11732212.442495923</v>
      </c>
      <c r="F70" s="198">
        <f t="shared" si="14"/>
        <v>0</v>
      </c>
      <c r="G70" s="198"/>
      <c r="H70" s="198"/>
      <c r="I70" s="198">
        <f t="shared" si="15"/>
        <v>11732212.442495923</v>
      </c>
      <c r="J70" s="198">
        <f t="shared" si="16"/>
        <v>0</v>
      </c>
    </row>
    <row r="71" spans="1:10" x14ac:dyDescent="0.25">
      <c r="A71" s="199">
        <v>48151</v>
      </c>
      <c r="B71" s="197" t="s">
        <v>266</v>
      </c>
      <c r="C71" s="198">
        <f>+'[3]Libro Diario 2023 '!D184</f>
        <v>5600000</v>
      </c>
      <c r="D71" s="198"/>
      <c r="E71" s="198">
        <f t="shared" si="13"/>
        <v>5600000</v>
      </c>
      <c r="F71" s="198">
        <f t="shared" si="14"/>
        <v>0</v>
      </c>
      <c r="G71" s="198"/>
      <c r="H71" s="198"/>
      <c r="I71" s="198">
        <f t="shared" si="15"/>
        <v>5600000</v>
      </c>
      <c r="J71" s="198">
        <f t="shared" si="16"/>
        <v>0</v>
      </c>
    </row>
    <row r="72" spans="1:10" x14ac:dyDescent="0.25">
      <c r="A72" s="199">
        <v>49001</v>
      </c>
      <c r="B72" s="197" t="s">
        <v>267</v>
      </c>
      <c r="C72" s="198">
        <f>+'[3]Libro Diario 2023 '!D120+'[3]Libro Diario 2023 '!D230</f>
        <v>6312500</v>
      </c>
      <c r="D72" s="198"/>
      <c r="E72" s="198">
        <f t="shared" si="13"/>
        <v>6312500</v>
      </c>
      <c r="F72" s="198">
        <f t="shared" si="14"/>
        <v>0</v>
      </c>
      <c r="G72" s="198"/>
      <c r="H72" s="198"/>
      <c r="I72" s="198">
        <f t="shared" si="15"/>
        <v>6312500</v>
      </c>
      <c r="J72" s="198">
        <f t="shared" si="16"/>
        <v>0</v>
      </c>
    </row>
    <row r="73" spans="1:10" x14ac:dyDescent="0.25">
      <c r="A73" s="199">
        <v>49101</v>
      </c>
      <c r="B73" s="197" t="s">
        <v>268</v>
      </c>
      <c r="C73" s="198">
        <f>+'[3]Libro Diario 2023 '!D231</f>
        <v>27777777.77777778</v>
      </c>
      <c r="D73" s="198"/>
      <c r="E73" s="198">
        <f t="shared" si="13"/>
        <v>27777777.77777778</v>
      </c>
      <c r="F73" s="198">
        <f t="shared" si="14"/>
        <v>0</v>
      </c>
      <c r="G73" s="198"/>
      <c r="H73" s="198"/>
      <c r="I73" s="198">
        <f t="shared" si="15"/>
        <v>27777777.77777778</v>
      </c>
      <c r="J73" s="198">
        <f t="shared" si="16"/>
        <v>0</v>
      </c>
    </row>
    <row r="74" spans="1:10" x14ac:dyDescent="0.25">
      <c r="A74" s="199">
        <v>49120</v>
      </c>
      <c r="B74" s="197" t="s">
        <v>269</v>
      </c>
      <c r="C74" s="198">
        <f>+'[3]Libro Diario 2023 '!D129</f>
        <v>20854166.666666668</v>
      </c>
      <c r="D74" s="198"/>
      <c r="E74" s="198">
        <f t="shared" si="13"/>
        <v>20854166.666666668</v>
      </c>
      <c r="F74" s="198">
        <f t="shared" si="14"/>
        <v>0</v>
      </c>
      <c r="G74" s="198"/>
      <c r="H74" s="198"/>
      <c r="I74" s="198">
        <f t="shared" si="15"/>
        <v>20854166.666666668</v>
      </c>
      <c r="J74" s="198">
        <f t="shared" si="16"/>
        <v>0</v>
      </c>
    </row>
    <row r="75" spans="1:10" x14ac:dyDescent="0.25">
      <c r="A75" s="199">
        <v>50001</v>
      </c>
      <c r="B75" s="197" t="s">
        <v>270</v>
      </c>
      <c r="C75" s="198"/>
      <c r="D75" s="198"/>
      <c r="E75" s="198">
        <f t="shared" si="13"/>
        <v>0</v>
      </c>
      <c r="F75" s="198">
        <f t="shared" si="14"/>
        <v>0</v>
      </c>
      <c r="G75" s="198"/>
      <c r="H75" s="198"/>
      <c r="I75" s="198">
        <f t="shared" si="15"/>
        <v>0</v>
      </c>
      <c r="J75" s="198">
        <f t="shared" si="16"/>
        <v>0</v>
      </c>
    </row>
    <row r="76" spans="1:10" x14ac:dyDescent="0.25">
      <c r="A76" s="199">
        <v>50002</v>
      </c>
      <c r="B76" s="197" t="s">
        <v>271</v>
      </c>
      <c r="C76" s="198"/>
      <c r="D76" s="198">
        <f>+'[3]Libro Diario 2023 '!E148</f>
        <v>5200000</v>
      </c>
      <c r="E76" s="198">
        <f t="shared" si="13"/>
        <v>0</v>
      </c>
      <c r="F76" s="198">
        <f t="shared" si="14"/>
        <v>5200000</v>
      </c>
      <c r="G76" s="198"/>
      <c r="H76" s="198"/>
      <c r="I76" s="198">
        <f t="shared" si="15"/>
        <v>0</v>
      </c>
      <c r="J76" s="198">
        <f t="shared" si="16"/>
        <v>5200000</v>
      </c>
    </row>
    <row r="77" spans="1:10" x14ac:dyDescent="0.25">
      <c r="A77" s="199">
        <v>50003</v>
      </c>
      <c r="B77" s="197" t="s">
        <v>272</v>
      </c>
      <c r="C77" s="198"/>
      <c r="D77" s="198">
        <f>+'[3]Libro Diario 2023 '!E124</f>
        <v>18000000</v>
      </c>
      <c r="E77" s="198">
        <f t="shared" si="13"/>
        <v>0</v>
      </c>
      <c r="F77" s="198">
        <f t="shared" si="14"/>
        <v>18000000</v>
      </c>
      <c r="G77" s="198"/>
      <c r="H77" s="198"/>
      <c r="I77" s="198">
        <f t="shared" si="15"/>
        <v>0</v>
      </c>
      <c r="J77" s="198">
        <f t="shared" si="16"/>
        <v>18000000</v>
      </c>
    </row>
    <row r="78" spans="1:10" x14ac:dyDescent="0.25">
      <c r="A78" s="199">
        <v>50051</v>
      </c>
      <c r="B78" s="197" t="s">
        <v>273</v>
      </c>
      <c r="C78" s="198"/>
      <c r="D78" s="198">
        <f>+'[3]Libro Diario 2023 '!E94+'[3]Libro Diario 2023 '!E236</f>
        <v>618520</v>
      </c>
      <c r="E78" s="198">
        <f t="shared" si="13"/>
        <v>0</v>
      </c>
      <c r="F78" s="198">
        <f t="shared" si="14"/>
        <v>618520</v>
      </c>
      <c r="G78" s="198"/>
      <c r="H78" s="198"/>
      <c r="I78" s="198">
        <f t="shared" si="15"/>
        <v>0</v>
      </c>
      <c r="J78" s="198">
        <f t="shared" si="16"/>
        <v>618520</v>
      </c>
    </row>
    <row r="79" spans="1:10" x14ac:dyDescent="0.25">
      <c r="A79" s="201">
        <v>51001</v>
      </c>
      <c r="B79" s="202" t="s">
        <v>274</v>
      </c>
      <c r="C79" s="198"/>
      <c r="D79" s="198">
        <f>+'[3]Libro Diario 2023 '!E66</f>
        <v>500000000</v>
      </c>
      <c r="E79" s="198">
        <f t="shared" si="13"/>
        <v>0</v>
      </c>
      <c r="F79" s="198">
        <f t="shared" si="14"/>
        <v>500000000</v>
      </c>
      <c r="G79" s="198"/>
      <c r="H79" s="198"/>
      <c r="I79" s="198">
        <f t="shared" si="15"/>
        <v>0</v>
      </c>
      <c r="J79" s="198">
        <f t="shared" si="16"/>
        <v>500000000</v>
      </c>
    </row>
    <row r="80" spans="1:10" ht="15.75" thickBot="1" x14ac:dyDescent="0.3">
      <c r="A80" s="201">
        <v>51051</v>
      </c>
      <c r="B80" s="202" t="s">
        <v>275</v>
      </c>
      <c r="C80" s="198"/>
      <c r="D80" s="198">
        <f>+'[3]Libro Diario 2023 '!E114</f>
        <v>5000000</v>
      </c>
      <c r="E80" s="198">
        <f t="shared" si="13"/>
        <v>0</v>
      </c>
      <c r="F80" s="198">
        <f t="shared" si="14"/>
        <v>5000000</v>
      </c>
      <c r="G80" s="198"/>
      <c r="H80" s="198"/>
      <c r="I80" s="198">
        <f t="shared" si="15"/>
        <v>0</v>
      </c>
      <c r="J80" s="198">
        <f t="shared" si="16"/>
        <v>5000000</v>
      </c>
    </row>
    <row r="81" spans="1:10" ht="15.75" x14ac:dyDescent="0.25">
      <c r="A81" s="203"/>
      <c r="B81" s="204" t="s">
        <v>276</v>
      </c>
      <c r="C81" s="205">
        <f>SUM(C5:C80)</f>
        <v>4638749483.7125111</v>
      </c>
      <c r="D81" s="205">
        <f>SUM(D5:D80)</f>
        <v>4638749483.532711</v>
      </c>
      <c r="E81" s="205">
        <f>SUM(E5:E80)</f>
        <v>1791015605.1535401</v>
      </c>
      <c r="F81" s="205">
        <f>SUM(F5:F80)</f>
        <v>1791015604.9737403</v>
      </c>
      <c r="G81" s="205">
        <f>SUM(G5:G80)</f>
        <v>1392234833.845</v>
      </c>
      <c r="H81" s="205">
        <f>SUM(H5:H80)</f>
        <v>1262197084.9737403</v>
      </c>
      <c r="I81" s="205">
        <f>SUM(I5:I80)</f>
        <v>398780771.3085404</v>
      </c>
      <c r="J81" s="206">
        <f>SUM(J5:J80)</f>
        <v>528818520</v>
      </c>
    </row>
    <row r="82" spans="1:10" ht="15.75" x14ac:dyDescent="0.25">
      <c r="A82" s="199"/>
      <c r="B82" s="207" t="s">
        <v>277</v>
      </c>
      <c r="C82" s="208"/>
      <c r="D82" s="208"/>
      <c r="E82" s="208"/>
      <c r="F82" s="208"/>
      <c r="G82" s="208"/>
      <c r="H82" s="208">
        <f>+G81-H81</f>
        <v>130037748.87125969</v>
      </c>
      <c r="I82" s="208">
        <f>+J81-I81</f>
        <v>130037748.6914596</v>
      </c>
      <c r="J82" s="209"/>
    </row>
    <row r="83" spans="1:10" ht="16.5" thickBot="1" x14ac:dyDescent="0.3">
      <c r="A83" s="210"/>
      <c r="B83" s="211" t="s">
        <v>142</v>
      </c>
      <c r="C83" s="212">
        <f>+C81+C82</f>
        <v>4638749483.7125111</v>
      </c>
      <c r="D83" s="212">
        <f t="shared" ref="D83:J83" si="21">+D81+D82</f>
        <v>4638749483.532711</v>
      </c>
      <c r="E83" s="212">
        <f t="shared" si="21"/>
        <v>1791015605.1535401</v>
      </c>
      <c r="F83" s="212">
        <f t="shared" si="21"/>
        <v>1791015604.9737403</v>
      </c>
      <c r="G83" s="212">
        <f t="shared" si="21"/>
        <v>1392234833.845</v>
      </c>
      <c r="H83" s="212">
        <f t="shared" si="21"/>
        <v>1392234833.845</v>
      </c>
      <c r="I83" s="212">
        <f t="shared" si="21"/>
        <v>528818520</v>
      </c>
      <c r="J83" s="213">
        <f t="shared" si="21"/>
        <v>528818520</v>
      </c>
    </row>
    <row r="84" spans="1:10" x14ac:dyDescent="0.25">
      <c r="D84" s="114">
        <f>+C83-D83</f>
        <v>0.17980003356933594</v>
      </c>
      <c r="E84" s="114"/>
      <c r="F84" s="114"/>
      <c r="H84" s="114"/>
      <c r="I84" s="114"/>
    </row>
    <row r="85" spans="1:10" x14ac:dyDescent="0.25">
      <c r="H85" s="114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opLeftCell="C17" zoomScale="93" zoomScaleNormal="93" workbookViewId="0">
      <selection activeCell="G35" sqref="G35"/>
    </sheetView>
  </sheetViews>
  <sheetFormatPr baseColWidth="10" defaultColWidth="14.5703125" defaultRowHeight="15" x14ac:dyDescent="0.25"/>
  <cols>
    <col min="1" max="1" width="2.7109375" style="216" customWidth="1"/>
    <col min="2" max="2" width="138.85546875" style="216" customWidth="1"/>
    <col min="3" max="3" width="4" style="217" customWidth="1"/>
    <col min="4" max="4" width="14.85546875" style="218" customWidth="1"/>
    <col min="5" max="6" width="17.140625" style="219" customWidth="1"/>
    <col min="7" max="7" width="17.85546875" style="219" customWidth="1"/>
    <col min="8" max="8" width="11.42578125" style="216" customWidth="1"/>
    <col min="9" max="9" width="19.7109375" style="216" customWidth="1"/>
    <col min="10" max="209" width="11.42578125" style="216" customWidth="1"/>
    <col min="210" max="211" width="2.7109375" style="216" customWidth="1"/>
    <col min="212" max="215" width="14.5703125" style="216"/>
    <col min="216" max="216" width="2.7109375" style="216" customWidth="1"/>
    <col min="217" max="217" width="48.28515625" style="216" customWidth="1"/>
    <col min="218" max="218" width="34.28515625" style="216" customWidth="1"/>
    <col min="219" max="219" width="24.28515625" style="216" customWidth="1"/>
    <col min="220" max="220" width="16.5703125" style="216" customWidth="1"/>
    <col min="221" max="222" width="3.42578125" style="216" customWidth="1"/>
    <col min="223" max="223" width="11.42578125" style="216" customWidth="1"/>
    <col min="224" max="224" width="21.42578125" style="216" customWidth="1"/>
    <col min="225" max="465" width="11.42578125" style="216" customWidth="1"/>
    <col min="466" max="467" width="2.7109375" style="216" customWidth="1"/>
    <col min="468" max="471" width="14.5703125" style="216"/>
    <col min="472" max="472" width="2.7109375" style="216" customWidth="1"/>
    <col min="473" max="473" width="48.28515625" style="216" customWidth="1"/>
    <col min="474" max="474" width="34.28515625" style="216" customWidth="1"/>
    <col min="475" max="475" width="24.28515625" style="216" customWidth="1"/>
    <col min="476" max="476" width="16.5703125" style="216" customWidth="1"/>
    <col min="477" max="478" width="3.42578125" style="216" customWidth="1"/>
    <col min="479" max="479" width="11.42578125" style="216" customWidth="1"/>
    <col min="480" max="480" width="21.42578125" style="216" customWidth="1"/>
    <col min="481" max="721" width="11.42578125" style="216" customWidth="1"/>
    <col min="722" max="723" width="2.7109375" style="216" customWidth="1"/>
    <col min="724" max="727" width="14.5703125" style="216"/>
    <col min="728" max="728" width="2.7109375" style="216" customWidth="1"/>
    <col min="729" max="729" width="48.28515625" style="216" customWidth="1"/>
    <col min="730" max="730" width="34.28515625" style="216" customWidth="1"/>
    <col min="731" max="731" width="24.28515625" style="216" customWidth="1"/>
    <col min="732" max="732" width="16.5703125" style="216" customWidth="1"/>
    <col min="733" max="734" width="3.42578125" style="216" customWidth="1"/>
    <col min="735" max="735" width="11.42578125" style="216" customWidth="1"/>
    <col min="736" max="736" width="21.42578125" style="216" customWidth="1"/>
    <col min="737" max="977" width="11.42578125" style="216" customWidth="1"/>
    <col min="978" max="979" width="2.7109375" style="216" customWidth="1"/>
    <col min="980" max="983" width="14.5703125" style="216"/>
    <col min="984" max="984" width="2.7109375" style="216" customWidth="1"/>
    <col min="985" max="985" width="48.28515625" style="216" customWidth="1"/>
    <col min="986" max="986" width="34.28515625" style="216" customWidth="1"/>
    <col min="987" max="987" width="24.28515625" style="216" customWidth="1"/>
    <col min="988" max="988" width="16.5703125" style="216" customWidth="1"/>
    <col min="989" max="990" width="3.42578125" style="216" customWidth="1"/>
    <col min="991" max="991" width="11.42578125" style="216" customWidth="1"/>
    <col min="992" max="992" width="21.42578125" style="216" customWidth="1"/>
    <col min="993" max="1233" width="11.42578125" style="216" customWidth="1"/>
    <col min="1234" max="1235" width="2.7109375" style="216" customWidth="1"/>
    <col min="1236" max="1239" width="14.5703125" style="216"/>
    <col min="1240" max="1240" width="2.7109375" style="216" customWidth="1"/>
    <col min="1241" max="1241" width="48.28515625" style="216" customWidth="1"/>
    <col min="1242" max="1242" width="34.28515625" style="216" customWidth="1"/>
    <col min="1243" max="1243" width="24.28515625" style="216" customWidth="1"/>
    <col min="1244" max="1244" width="16.5703125" style="216" customWidth="1"/>
    <col min="1245" max="1246" width="3.42578125" style="216" customWidth="1"/>
    <col min="1247" max="1247" width="11.42578125" style="216" customWidth="1"/>
    <col min="1248" max="1248" width="21.42578125" style="216" customWidth="1"/>
    <col min="1249" max="1489" width="11.42578125" style="216" customWidth="1"/>
    <col min="1490" max="1491" width="2.7109375" style="216" customWidth="1"/>
    <col min="1492" max="1495" width="14.5703125" style="216"/>
    <col min="1496" max="1496" width="2.7109375" style="216" customWidth="1"/>
    <col min="1497" max="1497" width="48.28515625" style="216" customWidth="1"/>
    <col min="1498" max="1498" width="34.28515625" style="216" customWidth="1"/>
    <col min="1499" max="1499" width="24.28515625" style="216" customWidth="1"/>
    <col min="1500" max="1500" width="16.5703125" style="216" customWidth="1"/>
    <col min="1501" max="1502" width="3.42578125" style="216" customWidth="1"/>
    <col min="1503" max="1503" width="11.42578125" style="216" customWidth="1"/>
    <col min="1504" max="1504" width="21.42578125" style="216" customWidth="1"/>
    <col min="1505" max="1745" width="11.42578125" style="216" customWidth="1"/>
    <col min="1746" max="1747" width="2.7109375" style="216" customWidth="1"/>
    <col min="1748" max="1751" width="14.5703125" style="216"/>
    <col min="1752" max="1752" width="2.7109375" style="216" customWidth="1"/>
    <col min="1753" max="1753" width="48.28515625" style="216" customWidth="1"/>
    <col min="1754" max="1754" width="34.28515625" style="216" customWidth="1"/>
    <col min="1755" max="1755" width="24.28515625" style="216" customWidth="1"/>
    <col min="1756" max="1756" width="16.5703125" style="216" customWidth="1"/>
    <col min="1757" max="1758" width="3.42578125" style="216" customWidth="1"/>
    <col min="1759" max="1759" width="11.42578125" style="216" customWidth="1"/>
    <col min="1760" max="1760" width="21.42578125" style="216" customWidth="1"/>
    <col min="1761" max="2001" width="11.42578125" style="216" customWidth="1"/>
    <col min="2002" max="2003" width="2.7109375" style="216" customWidth="1"/>
    <col min="2004" max="2007" width="14.5703125" style="216"/>
    <col min="2008" max="2008" width="2.7109375" style="216" customWidth="1"/>
    <col min="2009" max="2009" width="48.28515625" style="216" customWidth="1"/>
    <col min="2010" max="2010" width="34.28515625" style="216" customWidth="1"/>
    <col min="2011" max="2011" width="24.28515625" style="216" customWidth="1"/>
    <col min="2012" max="2012" width="16.5703125" style="216" customWidth="1"/>
    <col min="2013" max="2014" width="3.42578125" style="216" customWidth="1"/>
    <col min="2015" max="2015" width="11.42578125" style="216" customWidth="1"/>
    <col min="2016" max="2016" width="21.42578125" style="216" customWidth="1"/>
    <col min="2017" max="2257" width="11.42578125" style="216" customWidth="1"/>
    <col min="2258" max="2259" width="2.7109375" style="216" customWidth="1"/>
    <col min="2260" max="2263" width="14.5703125" style="216"/>
    <col min="2264" max="2264" width="2.7109375" style="216" customWidth="1"/>
    <col min="2265" max="2265" width="48.28515625" style="216" customWidth="1"/>
    <col min="2266" max="2266" width="34.28515625" style="216" customWidth="1"/>
    <col min="2267" max="2267" width="24.28515625" style="216" customWidth="1"/>
    <col min="2268" max="2268" width="16.5703125" style="216" customWidth="1"/>
    <col min="2269" max="2270" width="3.42578125" style="216" customWidth="1"/>
    <col min="2271" max="2271" width="11.42578125" style="216" customWidth="1"/>
    <col min="2272" max="2272" width="21.42578125" style="216" customWidth="1"/>
    <col min="2273" max="2513" width="11.42578125" style="216" customWidth="1"/>
    <col min="2514" max="2515" width="2.7109375" style="216" customWidth="1"/>
    <col min="2516" max="2519" width="14.5703125" style="216"/>
    <col min="2520" max="2520" width="2.7109375" style="216" customWidth="1"/>
    <col min="2521" max="2521" width="48.28515625" style="216" customWidth="1"/>
    <col min="2522" max="2522" width="34.28515625" style="216" customWidth="1"/>
    <col min="2523" max="2523" width="24.28515625" style="216" customWidth="1"/>
    <col min="2524" max="2524" width="16.5703125" style="216" customWidth="1"/>
    <col min="2525" max="2526" width="3.42578125" style="216" customWidth="1"/>
    <col min="2527" max="2527" width="11.42578125" style="216" customWidth="1"/>
    <col min="2528" max="2528" width="21.42578125" style="216" customWidth="1"/>
    <col min="2529" max="2769" width="11.42578125" style="216" customWidth="1"/>
    <col min="2770" max="2771" width="2.7109375" style="216" customWidth="1"/>
    <col min="2772" max="2775" width="14.5703125" style="216"/>
    <col min="2776" max="2776" width="2.7109375" style="216" customWidth="1"/>
    <col min="2777" max="2777" width="48.28515625" style="216" customWidth="1"/>
    <col min="2778" max="2778" width="34.28515625" style="216" customWidth="1"/>
    <col min="2779" max="2779" width="24.28515625" style="216" customWidth="1"/>
    <col min="2780" max="2780" width="16.5703125" style="216" customWidth="1"/>
    <col min="2781" max="2782" width="3.42578125" style="216" customWidth="1"/>
    <col min="2783" max="2783" width="11.42578125" style="216" customWidth="1"/>
    <col min="2784" max="2784" width="21.42578125" style="216" customWidth="1"/>
    <col min="2785" max="3025" width="11.42578125" style="216" customWidth="1"/>
    <col min="3026" max="3027" width="2.7109375" style="216" customWidth="1"/>
    <col min="3028" max="3031" width="14.5703125" style="216"/>
    <col min="3032" max="3032" width="2.7109375" style="216" customWidth="1"/>
    <col min="3033" max="3033" width="48.28515625" style="216" customWidth="1"/>
    <col min="3034" max="3034" width="34.28515625" style="216" customWidth="1"/>
    <col min="3035" max="3035" width="24.28515625" style="216" customWidth="1"/>
    <col min="3036" max="3036" width="16.5703125" style="216" customWidth="1"/>
    <col min="3037" max="3038" width="3.42578125" style="216" customWidth="1"/>
    <col min="3039" max="3039" width="11.42578125" style="216" customWidth="1"/>
    <col min="3040" max="3040" width="21.42578125" style="216" customWidth="1"/>
    <col min="3041" max="3281" width="11.42578125" style="216" customWidth="1"/>
    <col min="3282" max="3283" width="2.7109375" style="216" customWidth="1"/>
    <col min="3284" max="3287" width="14.5703125" style="216"/>
    <col min="3288" max="3288" width="2.7109375" style="216" customWidth="1"/>
    <col min="3289" max="3289" width="48.28515625" style="216" customWidth="1"/>
    <col min="3290" max="3290" width="34.28515625" style="216" customWidth="1"/>
    <col min="3291" max="3291" width="24.28515625" style="216" customWidth="1"/>
    <col min="3292" max="3292" width="16.5703125" style="216" customWidth="1"/>
    <col min="3293" max="3294" width="3.42578125" style="216" customWidth="1"/>
    <col min="3295" max="3295" width="11.42578125" style="216" customWidth="1"/>
    <col min="3296" max="3296" width="21.42578125" style="216" customWidth="1"/>
    <col min="3297" max="3537" width="11.42578125" style="216" customWidth="1"/>
    <col min="3538" max="3539" width="2.7109375" style="216" customWidth="1"/>
    <col min="3540" max="3543" width="14.5703125" style="216"/>
    <col min="3544" max="3544" width="2.7109375" style="216" customWidth="1"/>
    <col min="3545" max="3545" width="48.28515625" style="216" customWidth="1"/>
    <col min="3546" max="3546" width="34.28515625" style="216" customWidth="1"/>
    <col min="3547" max="3547" width="24.28515625" style="216" customWidth="1"/>
    <col min="3548" max="3548" width="16.5703125" style="216" customWidth="1"/>
    <col min="3549" max="3550" width="3.42578125" style="216" customWidth="1"/>
    <col min="3551" max="3551" width="11.42578125" style="216" customWidth="1"/>
    <col min="3552" max="3552" width="21.42578125" style="216" customWidth="1"/>
    <col min="3553" max="3793" width="11.42578125" style="216" customWidth="1"/>
    <col min="3794" max="3795" width="2.7109375" style="216" customWidth="1"/>
    <col min="3796" max="3799" width="14.5703125" style="216"/>
    <col min="3800" max="3800" width="2.7109375" style="216" customWidth="1"/>
    <col min="3801" max="3801" width="48.28515625" style="216" customWidth="1"/>
    <col min="3802" max="3802" width="34.28515625" style="216" customWidth="1"/>
    <col min="3803" max="3803" width="24.28515625" style="216" customWidth="1"/>
    <col min="3804" max="3804" width="16.5703125" style="216" customWidth="1"/>
    <col min="3805" max="3806" width="3.42578125" style="216" customWidth="1"/>
    <col min="3807" max="3807" width="11.42578125" style="216" customWidth="1"/>
    <col min="3808" max="3808" width="21.42578125" style="216" customWidth="1"/>
    <col min="3809" max="4049" width="11.42578125" style="216" customWidth="1"/>
    <col min="4050" max="4051" width="2.7109375" style="216" customWidth="1"/>
    <col min="4052" max="4055" width="14.5703125" style="216"/>
    <col min="4056" max="4056" width="2.7109375" style="216" customWidth="1"/>
    <col min="4057" max="4057" width="48.28515625" style="216" customWidth="1"/>
    <col min="4058" max="4058" width="34.28515625" style="216" customWidth="1"/>
    <col min="4059" max="4059" width="24.28515625" style="216" customWidth="1"/>
    <col min="4060" max="4060" width="16.5703125" style="216" customWidth="1"/>
    <col min="4061" max="4062" width="3.42578125" style="216" customWidth="1"/>
    <col min="4063" max="4063" width="11.42578125" style="216" customWidth="1"/>
    <col min="4064" max="4064" width="21.42578125" style="216" customWidth="1"/>
    <col min="4065" max="4305" width="11.42578125" style="216" customWidth="1"/>
    <col min="4306" max="4307" width="2.7109375" style="216" customWidth="1"/>
    <col min="4308" max="4311" width="14.5703125" style="216"/>
    <col min="4312" max="4312" width="2.7109375" style="216" customWidth="1"/>
    <col min="4313" max="4313" width="48.28515625" style="216" customWidth="1"/>
    <col min="4314" max="4314" width="34.28515625" style="216" customWidth="1"/>
    <col min="4315" max="4315" width="24.28515625" style="216" customWidth="1"/>
    <col min="4316" max="4316" width="16.5703125" style="216" customWidth="1"/>
    <col min="4317" max="4318" width="3.42578125" style="216" customWidth="1"/>
    <col min="4319" max="4319" width="11.42578125" style="216" customWidth="1"/>
    <col min="4320" max="4320" width="21.42578125" style="216" customWidth="1"/>
    <col min="4321" max="4561" width="11.42578125" style="216" customWidth="1"/>
    <col min="4562" max="4563" width="2.7109375" style="216" customWidth="1"/>
    <col min="4564" max="4567" width="14.5703125" style="216"/>
    <col min="4568" max="4568" width="2.7109375" style="216" customWidth="1"/>
    <col min="4569" max="4569" width="48.28515625" style="216" customWidth="1"/>
    <col min="4570" max="4570" width="34.28515625" style="216" customWidth="1"/>
    <col min="4571" max="4571" width="24.28515625" style="216" customWidth="1"/>
    <col min="4572" max="4572" width="16.5703125" style="216" customWidth="1"/>
    <col min="4573" max="4574" width="3.42578125" style="216" customWidth="1"/>
    <col min="4575" max="4575" width="11.42578125" style="216" customWidth="1"/>
    <col min="4576" max="4576" width="21.42578125" style="216" customWidth="1"/>
    <col min="4577" max="4817" width="11.42578125" style="216" customWidth="1"/>
    <col min="4818" max="4819" width="2.7109375" style="216" customWidth="1"/>
    <col min="4820" max="4823" width="14.5703125" style="216"/>
    <col min="4824" max="4824" width="2.7109375" style="216" customWidth="1"/>
    <col min="4825" max="4825" width="48.28515625" style="216" customWidth="1"/>
    <col min="4826" max="4826" width="34.28515625" style="216" customWidth="1"/>
    <col min="4827" max="4827" width="24.28515625" style="216" customWidth="1"/>
    <col min="4828" max="4828" width="16.5703125" style="216" customWidth="1"/>
    <col min="4829" max="4830" width="3.42578125" style="216" customWidth="1"/>
    <col min="4831" max="4831" width="11.42578125" style="216" customWidth="1"/>
    <col min="4832" max="4832" width="21.42578125" style="216" customWidth="1"/>
    <col min="4833" max="5073" width="11.42578125" style="216" customWidth="1"/>
    <col min="5074" max="5075" width="2.7109375" style="216" customWidth="1"/>
    <col min="5076" max="5079" width="14.5703125" style="216"/>
    <col min="5080" max="5080" width="2.7109375" style="216" customWidth="1"/>
    <col min="5081" max="5081" width="48.28515625" style="216" customWidth="1"/>
    <col min="5082" max="5082" width="34.28515625" style="216" customWidth="1"/>
    <col min="5083" max="5083" width="24.28515625" style="216" customWidth="1"/>
    <col min="5084" max="5084" width="16.5703125" style="216" customWidth="1"/>
    <col min="5085" max="5086" width="3.42578125" style="216" customWidth="1"/>
    <col min="5087" max="5087" width="11.42578125" style="216" customWidth="1"/>
    <col min="5088" max="5088" width="21.42578125" style="216" customWidth="1"/>
    <col min="5089" max="5329" width="11.42578125" style="216" customWidth="1"/>
    <col min="5330" max="5331" width="2.7109375" style="216" customWidth="1"/>
    <col min="5332" max="5335" width="14.5703125" style="216"/>
    <col min="5336" max="5336" width="2.7109375" style="216" customWidth="1"/>
    <col min="5337" max="5337" width="48.28515625" style="216" customWidth="1"/>
    <col min="5338" max="5338" width="34.28515625" style="216" customWidth="1"/>
    <col min="5339" max="5339" width="24.28515625" style="216" customWidth="1"/>
    <col min="5340" max="5340" width="16.5703125" style="216" customWidth="1"/>
    <col min="5341" max="5342" width="3.42578125" style="216" customWidth="1"/>
    <col min="5343" max="5343" width="11.42578125" style="216" customWidth="1"/>
    <col min="5344" max="5344" width="21.42578125" style="216" customWidth="1"/>
    <col min="5345" max="5585" width="11.42578125" style="216" customWidth="1"/>
    <col min="5586" max="5587" width="2.7109375" style="216" customWidth="1"/>
    <col min="5588" max="5591" width="14.5703125" style="216"/>
    <col min="5592" max="5592" width="2.7109375" style="216" customWidth="1"/>
    <col min="5593" max="5593" width="48.28515625" style="216" customWidth="1"/>
    <col min="5594" max="5594" width="34.28515625" style="216" customWidth="1"/>
    <col min="5595" max="5595" width="24.28515625" style="216" customWidth="1"/>
    <col min="5596" max="5596" width="16.5703125" style="216" customWidth="1"/>
    <col min="5597" max="5598" width="3.42578125" style="216" customWidth="1"/>
    <col min="5599" max="5599" width="11.42578125" style="216" customWidth="1"/>
    <col min="5600" max="5600" width="21.42578125" style="216" customWidth="1"/>
    <col min="5601" max="5841" width="11.42578125" style="216" customWidth="1"/>
    <col min="5842" max="5843" width="2.7109375" style="216" customWidth="1"/>
    <col min="5844" max="5847" width="14.5703125" style="216"/>
    <col min="5848" max="5848" width="2.7109375" style="216" customWidth="1"/>
    <col min="5849" max="5849" width="48.28515625" style="216" customWidth="1"/>
    <col min="5850" max="5850" width="34.28515625" style="216" customWidth="1"/>
    <col min="5851" max="5851" width="24.28515625" style="216" customWidth="1"/>
    <col min="5852" max="5852" width="16.5703125" style="216" customWidth="1"/>
    <col min="5853" max="5854" width="3.42578125" style="216" customWidth="1"/>
    <col min="5855" max="5855" width="11.42578125" style="216" customWidth="1"/>
    <col min="5856" max="5856" width="21.42578125" style="216" customWidth="1"/>
    <col min="5857" max="6097" width="11.42578125" style="216" customWidth="1"/>
    <col min="6098" max="6099" width="2.7109375" style="216" customWidth="1"/>
    <col min="6100" max="6103" width="14.5703125" style="216"/>
    <col min="6104" max="6104" width="2.7109375" style="216" customWidth="1"/>
    <col min="6105" max="6105" width="48.28515625" style="216" customWidth="1"/>
    <col min="6106" max="6106" width="34.28515625" style="216" customWidth="1"/>
    <col min="6107" max="6107" width="24.28515625" style="216" customWidth="1"/>
    <col min="6108" max="6108" width="16.5703125" style="216" customWidth="1"/>
    <col min="6109" max="6110" width="3.42578125" style="216" customWidth="1"/>
    <col min="6111" max="6111" width="11.42578125" style="216" customWidth="1"/>
    <col min="6112" max="6112" width="21.42578125" style="216" customWidth="1"/>
    <col min="6113" max="6353" width="11.42578125" style="216" customWidth="1"/>
    <col min="6354" max="6355" width="2.7109375" style="216" customWidth="1"/>
    <col min="6356" max="6359" width="14.5703125" style="216"/>
    <col min="6360" max="6360" width="2.7109375" style="216" customWidth="1"/>
    <col min="6361" max="6361" width="48.28515625" style="216" customWidth="1"/>
    <col min="6362" max="6362" width="34.28515625" style="216" customWidth="1"/>
    <col min="6363" max="6363" width="24.28515625" style="216" customWidth="1"/>
    <col min="6364" max="6364" width="16.5703125" style="216" customWidth="1"/>
    <col min="6365" max="6366" width="3.42578125" style="216" customWidth="1"/>
    <col min="6367" max="6367" width="11.42578125" style="216" customWidth="1"/>
    <col min="6368" max="6368" width="21.42578125" style="216" customWidth="1"/>
    <col min="6369" max="6609" width="11.42578125" style="216" customWidth="1"/>
    <col min="6610" max="6611" width="2.7109375" style="216" customWidth="1"/>
    <col min="6612" max="6615" width="14.5703125" style="216"/>
    <col min="6616" max="6616" width="2.7109375" style="216" customWidth="1"/>
    <col min="6617" max="6617" width="48.28515625" style="216" customWidth="1"/>
    <col min="6618" max="6618" width="34.28515625" style="216" customWidth="1"/>
    <col min="6619" max="6619" width="24.28515625" style="216" customWidth="1"/>
    <col min="6620" max="6620" width="16.5703125" style="216" customWidth="1"/>
    <col min="6621" max="6622" width="3.42578125" style="216" customWidth="1"/>
    <col min="6623" max="6623" width="11.42578125" style="216" customWidth="1"/>
    <col min="6624" max="6624" width="21.42578125" style="216" customWidth="1"/>
    <col min="6625" max="6865" width="11.42578125" style="216" customWidth="1"/>
    <col min="6866" max="6867" width="2.7109375" style="216" customWidth="1"/>
    <col min="6868" max="6871" width="14.5703125" style="216"/>
    <col min="6872" max="6872" width="2.7109375" style="216" customWidth="1"/>
    <col min="6873" max="6873" width="48.28515625" style="216" customWidth="1"/>
    <col min="6874" max="6874" width="34.28515625" style="216" customWidth="1"/>
    <col min="6875" max="6875" width="24.28515625" style="216" customWidth="1"/>
    <col min="6876" max="6876" width="16.5703125" style="216" customWidth="1"/>
    <col min="6877" max="6878" width="3.42578125" style="216" customWidth="1"/>
    <col min="6879" max="6879" width="11.42578125" style="216" customWidth="1"/>
    <col min="6880" max="6880" width="21.42578125" style="216" customWidth="1"/>
    <col min="6881" max="7121" width="11.42578125" style="216" customWidth="1"/>
    <col min="7122" max="7123" width="2.7109375" style="216" customWidth="1"/>
    <col min="7124" max="7127" width="14.5703125" style="216"/>
    <col min="7128" max="7128" width="2.7109375" style="216" customWidth="1"/>
    <col min="7129" max="7129" width="48.28515625" style="216" customWidth="1"/>
    <col min="7130" max="7130" width="34.28515625" style="216" customWidth="1"/>
    <col min="7131" max="7131" width="24.28515625" style="216" customWidth="1"/>
    <col min="7132" max="7132" width="16.5703125" style="216" customWidth="1"/>
    <col min="7133" max="7134" width="3.42578125" style="216" customWidth="1"/>
    <col min="7135" max="7135" width="11.42578125" style="216" customWidth="1"/>
    <col min="7136" max="7136" width="21.42578125" style="216" customWidth="1"/>
    <col min="7137" max="7377" width="11.42578125" style="216" customWidth="1"/>
    <col min="7378" max="7379" width="2.7109375" style="216" customWidth="1"/>
    <col min="7380" max="7383" width="14.5703125" style="216"/>
    <col min="7384" max="7384" width="2.7109375" style="216" customWidth="1"/>
    <col min="7385" max="7385" width="48.28515625" style="216" customWidth="1"/>
    <col min="7386" max="7386" width="34.28515625" style="216" customWidth="1"/>
    <col min="7387" max="7387" width="24.28515625" style="216" customWidth="1"/>
    <col min="7388" max="7388" width="16.5703125" style="216" customWidth="1"/>
    <col min="7389" max="7390" width="3.42578125" style="216" customWidth="1"/>
    <col min="7391" max="7391" width="11.42578125" style="216" customWidth="1"/>
    <col min="7392" max="7392" width="21.42578125" style="216" customWidth="1"/>
    <col min="7393" max="7633" width="11.42578125" style="216" customWidth="1"/>
    <col min="7634" max="7635" width="2.7109375" style="216" customWidth="1"/>
    <col min="7636" max="7639" width="14.5703125" style="216"/>
    <col min="7640" max="7640" width="2.7109375" style="216" customWidth="1"/>
    <col min="7641" max="7641" width="48.28515625" style="216" customWidth="1"/>
    <col min="7642" max="7642" width="34.28515625" style="216" customWidth="1"/>
    <col min="7643" max="7643" width="24.28515625" style="216" customWidth="1"/>
    <col min="7644" max="7644" width="16.5703125" style="216" customWidth="1"/>
    <col min="7645" max="7646" width="3.42578125" style="216" customWidth="1"/>
    <col min="7647" max="7647" width="11.42578125" style="216" customWidth="1"/>
    <col min="7648" max="7648" width="21.42578125" style="216" customWidth="1"/>
    <col min="7649" max="7889" width="11.42578125" style="216" customWidth="1"/>
    <col min="7890" max="7891" width="2.7109375" style="216" customWidth="1"/>
    <col min="7892" max="7895" width="14.5703125" style="216"/>
    <col min="7896" max="7896" width="2.7109375" style="216" customWidth="1"/>
    <col min="7897" max="7897" width="48.28515625" style="216" customWidth="1"/>
    <col min="7898" max="7898" width="34.28515625" style="216" customWidth="1"/>
    <col min="7899" max="7899" width="24.28515625" style="216" customWidth="1"/>
    <col min="7900" max="7900" width="16.5703125" style="216" customWidth="1"/>
    <col min="7901" max="7902" width="3.42578125" style="216" customWidth="1"/>
    <col min="7903" max="7903" width="11.42578125" style="216" customWidth="1"/>
    <col min="7904" max="7904" width="21.42578125" style="216" customWidth="1"/>
    <col min="7905" max="8145" width="11.42578125" style="216" customWidth="1"/>
    <col min="8146" max="8147" width="2.7109375" style="216" customWidth="1"/>
    <col min="8148" max="8151" width="14.5703125" style="216"/>
    <col min="8152" max="8152" width="2.7109375" style="216" customWidth="1"/>
    <col min="8153" max="8153" width="48.28515625" style="216" customWidth="1"/>
    <col min="8154" max="8154" width="34.28515625" style="216" customWidth="1"/>
    <col min="8155" max="8155" width="24.28515625" style="216" customWidth="1"/>
    <col min="8156" max="8156" width="16.5703125" style="216" customWidth="1"/>
    <col min="8157" max="8158" width="3.42578125" style="216" customWidth="1"/>
    <col min="8159" max="8159" width="11.42578125" style="216" customWidth="1"/>
    <col min="8160" max="8160" width="21.42578125" style="216" customWidth="1"/>
    <col min="8161" max="8401" width="11.42578125" style="216" customWidth="1"/>
    <col min="8402" max="8403" width="2.7109375" style="216" customWidth="1"/>
    <col min="8404" max="8407" width="14.5703125" style="216"/>
    <col min="8408" max="8408" width="2.7109375" style="216" customWidth="1"/>
    <col min="8409" max="8409" width="48.28515625" style="216" customWidth="1"/>
    <col min="8410" max="8410" width="34.28515625" style="216" customWidth="1"/>
    <col min="8411" max="8411" width="24.28515625" style="216" customWidth="1"/>
    <col min="8412" max="8412" width="16.5703125" style="216" customWidth="1"/>
    <col min="8413" max="8414" width="3.42578125" style="216" customWidth="1"/>
    <col min="8415" max="8415" width="11.42578125" style="216" customWidth="1"/>
    <col min="8416" max="8416" width="21.42578125" style="216" customWidth="1"/>
    <col min="8417" max="8657" width="11.42578125" style="216" customWidth="1"/>
    <col min="8658" max="8659" width="2.7109375" style="216" customWidth="1"/>
    <col min="8660" max="8663" width="14.5703125" style="216"/>
    <col min="8664" max="8664" width="2.7109375" style="216" customWidth="1"/>
    <col min="8665" max="8665" width="48.28515625" style="216" customWidth="1"/>
    <col min="8666" max="8666" width="34.28515625" style="216" customWidth="1"/>
    <col min="8667" max="8667" width="24.28515625" style="216" customWidth="1"/>
    <col min="8668" max="8668" width="16.5703125" style="216" customWidth="1"/>
    <col min="8669" max="8670" width="3.42578125" style="216" customWidth="1"/>
    <col min="8671" max="8671" width="11.42578125" style="216" customWidth="1"/>
    <col min="8672" max="8672" width="21.42578125" style="216" customWidth="1"/>
    <col min="8673" max="8913" width="11.42578125" style="216" customWidth="1"/>
    <col min="8914" max="8915" width="2.7109375" style="216" customWidth="1"/>
    <col min="8916" max="8919" width="14.5703125" style="216"/>
    <col min="8920" max="8920" width="2.7109375" style="216" customWidth="1"/>
    <col min="8921" max="8921" width="48.28515625" style="216" customWidth="1"/>
    <col min="8922" max="8922" width="34.28515625" style="216" customWidth="1"/>
    <col min="8923" max="8923" width="24.28515625" style="216" customWidth="1"/>
    <col min="8924" max="8924" width="16.5703125" style="216" customWidth="1"/>
    <col min="8925" max="8926" width="3.42578125" style="216" customWidth="1"/>
    <col min="8927" max="8927" width="11.42578125" style="216" customWidth="1"/>
    <col min="8928" max="8928" width="21.42578125" style="216" customWidth="1"/>
    <col min="8929" max="9169" width="11.42578125" style="216" customWidth="1"/>
    <col min="9170" max="9171" width="2.7109375" style="216" customWidth="1"/>
    <col min="9172" max="9175" width="14.5703125" style="216"/>
    <col min="9176" max="9176" width="2.7109375" style="216" customWidth="1"/>
    <col min="9177" max="9177" width="48.28515625" style="216" customWidth="1"/>
    <col min="9178" max="9178" width="34.28515625" style="216" customWidth="1"/>
    <col min="9179" max="9179" width="24.28515625" style="216" customWidth="1"/>
    <col min="9180" max="9180" width="16.5703125" style="216" customWidth="1"/>
    <col min="9181" max="9182" width="3.42578125" style="216" customWidth="1"/>
    <col min="9183" max="9183" width="11.42578125" style="216" customWidth="1"/>
    <col min="9184" max="9184" width="21.42578125" style="216" customWidth="1"/>
    <col min="9185" max="9425" width="11.42578125" style="216" customWidth="1"/>
    <col min="9426" max="9427" width="2.7109375" style="216" customWidth="1"/>
    <col min="9428" max="9431" width="14.5703125" style="216"/>
    <col min="9432" max="9432" width="2.7109375" style="216" customWidth="1"/>
    <col min="9433" max="9433" width="48.28515625" style="216" customWidth="1"/>
    <col min="9434" max="9434" width="34.28515625" style="216" customWidth="1"/>
    <col min="9435" max="9435" width="24.28515625" style="216" customWidth="1"/>
    <col min="9436" max="9436" width="16.5703125" style="216" customWidth="1"/>
    <col min="9437" max="9438" width="3.42578125" style="216" customWidth="1"/>
    <col min="9439" max="9439" width="11.42578125" style="216" customWidth="1"/>
    <col min="9440" max="9440" width="21.42578125" style="216" customWidth="1"/>
    <col min="9441" max="9681" width="11.42578125" style="216" customWidth="1"/>
    <col min="9682" max="9683" width="2.7109375" style="216" customWidth="1"/>
    <col min="9684" max="9687" width="14.5703125" style="216"/>
    <col min="9688" max="9688" width="2.7109375" style="216" customWidth="1"/>
    <col min="9689" max="9689" width="48.28515625" style="216" customWidth="1"/>
    <col min="9690" max="9690" width="34.28515625" style="216" customWidth="1"/>
    <col min="9691" max="9691" width="24.28515625" style="216" customWidth="1"/>
    <col min="9692" max="9692" width="16.5703125" style="216" customWidth="1"/>
    <col min="9693" max="9694" width="3.42578125" style="216" customWidth="1"/>
    <col min="9695" max="9695" width="11.42578125" style="216" customWidth="1"/>
    <col min="9696" max="9696" width="21.42578125" style="216" customWidth="1"/>
    <col min="9697" max="9937" width="11.42578125" style="216" customWidth="1"/>
    <col min="9938" max="9939" width="2.7109375" style="216" customWidth="1"/>
    <col min="9940" max="9943" width="14.5703125" style="216"/>
    <col min="9944" max="9944" width="2.7109375" style="216" customWidth="1"/>
    <col min="9945" max="9945" width="48.28515625" style="216" customWidth="1"/>
    <col min="9946" max="9946" width="34.28515625" style="216" customWidth="1"/>
    <col min="9947" max="9947" width="24.28515625" style="216" customWidth="1"/>
    <col min="9948" max="9948" width="16.5703125" style="216" customWidth="1"/>
    <col min="9949" max="9950" width="3.42578125" style="216" customWidth="1"/>
    <col min="9951" max="9951" width="11.42578125" style="216" customWidth="1"/>
    <col min="9952" max="9952" width="21.42578125" style="216" customWidth="1"/>
    <col min="9953" max="10193" width="11.42578125" style="216" customWidth="1"/>
    <col min="10194" max="10195" width="2.7109375" style="216" customWidth="1"/>
    <col min="10196" max="10199" width="14.5703125" style="216"/>
    <col min="10200" max="10200" width="2.7109375" style="216" customWidth="1"/>
    <col min="10201" max="10201" width="48.28515625" style="216" customWidth="1"/>
    <col min="10202" max="10202" width="34.28515625" style="216" customWidth="1"/>
    <col min="10203" max="10203" width="24.28515625" style="216" customWidth="1"/>
    <col min="10204" max="10204" width="16.5703125" style="216" customWidth="1"/>
    <col min="10205" max="10206" width="3.42578125" style="216" customWidth="1"/>
    <col min="10207" max="10207" width="11.42578125" style="216" customWidth="1"/>
    <col min="10208" max="10208" width="21.42578125" style="216" customWidth="1"/>
    <col min="10209" max="10449" width="11.42578125" style="216" customWidth="1"/>
    <col min="10450" max="10451" width="2.7109375" style="216" customWidth="1"/>
    <col min="10452" max="10455" width="14.5703125" style="216"/>
    <col min="10456" max="10456" width="2.7109375" style="216" customWidth="1"/>
    <col min="10457" max="10457" width="48.28515625" style="216" customWidth="1"/>
    <col min="10458" max="10458" width="34.28515625" style="216" customWidth="1"/>
    <col min="10459" max="10459" width="24.28515625" style="216" customWidth="1"/>
    <col min="10460" max="10460" width="16.5703125" style="216" customWidth="1"/>
    <col min="10461" max="10462" width="3.42578125" style="216" customWidth="1"/>
    <col min="10463" max="10463" width="11.42578125" style="216" customWidth="1"/>
    <col min="10464" max="10464" width="21.42578125" style="216" customWidth="1"/>
    <col min="10465" max="10705" width="11.42578125" style="216" customWidth="1"/>
    <col min="10706" max="10707" width="2.7109375" style="216" customWidth="1"/>
    <col min="10708" max="10711" width="14.5703125" style="216"/>
    <col min="10712" max="10712" width="2.7109375" style="216" customWidth="1"/>
    <col min="10713" max="10713" width="48.28515625" style="216" customWidth="1"/>
    <col min="10714" max="10714" width="34.28515625" style="216" customWidth="1"/>
    <col min="10715" max="10715" width="24.28515625" style="216" customWidth="1"/>
    <col min="10716" max="10716" width="16.5703125" style="216" customWidth="1"/>
    <col min="10717" max="10718" width="3.42578125" style="216" customWidth="1"/>
    <col min="10719" max="10719" width="11.42578125" style="216" customWidth="1"/>
    <col min="10720" max="10720" width="21.42578125" style="216" customWidth="1"/>
    <col min="10721" max="10961" width="11.42578125" style="216" customWidth="1"/>
    <col min="10962" max="10963" width="2.7109375" style="216" customWidth="1"/>
    <col min="10964" max="10967" width="14.5703125" style="216"/>
    <col min="10968" max="10968" width="2.7109375" style="216" customWidth="1"/>
    <col min="10969" max="10969" width="48.28515625" style="216" customWidth="1"/>
    <col min="10970" max="10970" width="34.28515625" style="216" customWidth="1"/>
    <col min="10971" max="10971" width="24.28515625" style="216" customWidth="1"/>
    <col min="10972" max="10972" width="16.5703125" style="216" customWidth="1"/>
    <col min="10973" max="10974" width="3.42578125" style="216" customWidth="1"/>
    <col min="10975" max="10975" width="11.42578125" style="216" customWidth="1"/>
    <col min="10976" max="10976" width="21.42578125" style="216" customWidth="1"/>
    <col min="10977" max="11217" width="11.42578125" style="216" customWidth="1"/>
    <col min="11218" max="11219" width="2.7109375" style="216" customWidth="1"/>
    <col min="11220" max="11223" width="14.5703125" style="216"/>
    <col min="11224" max="11224" width="2.7109375" style="216" customWidth="1"/>
    <col min="11225" max="11225" width="48.28515625" style="216" customWidth="1"/>
    <col min="11226" max="11226" width="34.28515625" style="216" customWidth="1"/>
    <col min="11227" max="11227" width="24.28515625" style="216" customWidth="1"/>
    <col min="11228" max="11228" width="16.5703125" style="216" customWidth="1"/>
    <col min="11229" max="11230" width="3.42578125" style="216" customWidth="1"/>
    <col min="11231" max="11231" width="11.42578125" style="216" customWidth="1"/>
    <col min="11232" max="11232" width="21.42578125" style="216" customWidth="1"/>
    <col min="11233" max="11473" width="11.42578125" style="216" customWidth="1"/>
    <col min="11474" max="11475" width="2.7109375" style="216" customWidth="1"/>
    <col min="11476" max="11479" width="14.5703125" style="216"/>
    <col min="11480" max="11480" width="2.7109375" style="216" customWidth="1"/>
    <col min="11481" max="11481" width="48.28515625" style="216" customWidth="1"/>
    <col min="11482" max="11482" width="34.28515625" style="216" customWidth="1"/>
    <col min="11483" max="11483" width="24.28515625" style="216" customWidth="1"/>
    <col min="11484" max="11484" width="16.5703125" style="216" customWidth="1"/>
    <col min="11485" max="11486" width="3.42578125" style="216" customWidth="1"/>
    <col min="11487" max="11487" width="11.42578125" style="216" customWidth="1"/>
    <col min="11488" max="11488" width="21.42578125" style="216" customWidth="1"/>
    <col min="11489" max="11729" width="11.42578125" style="216" customWidth="1"/>
    <col min="11730" max="11731" width="2.7109375" style="216" customWidth="1"/>
    <col min="11732" max="11735" width="14.5703125" style="216"/>
    <col min="11736" max="11736" width="2.7109375" style="216" customWidth="1"/>
    <col min="11737" max="11737" width="48.28515625" style="216" customWidth="1"/>
    <col min="11738" max="11738" width="34.28515625" style="216" customWidth="1"/>
    <col min="11739" max="11739" width="24.28515625" style="216" customWidth="1"/>
    <col min="11740" max="11740" width="16.5703125" style="216" customWidth="1"/>
    <col min="11741" max="11742" width="3.42578125" style="216" customWidth="1"/>
    <col min="11743" max="11743" width="11.42578125" style="216" customWidth="1"/>
    <col min="11744" max="11744" width="21.42578125" style="216" customWidth="1"/>
    <col min="11745" max="11985" width="11.42578125" style="216" customWidth="1"/>
    <col min="11986" max="11987" width="2.7109375" style="216" customWidth="1"/>
    <col min="11988" max="11991" width="14.5703125" style="216"/>
    <col min="11992" max="11992" width="2.7109375" style="216" customWidth="1"/>
    <col min="11993" max="11993" width="48.28515625" style="216" customWidth="1"/>
    <col min="11994" max="11994" width="34.28515625" style="216" customWidth="1"/>
    <col min="11995" max="11995" width="24.28515625" style="216" customWidth="1"/>
    <col min="11996" max="11996" width="16.5703125" style="216" customWidth="1"/>
    <col min="11997" max="11998" width="3.42578125" style="216" customWidth="1"/>
    <col min="11999" max="11999" width="11.42578125" style="216" customWidth="1"/>
    <col min="12000" max="12000" width="21.42578125" style="216" customWidth="1"/>
    <col min="12001" max="12241" width="11.42578125" style="216" customWidth="1"/>
    <col min="12242" max="12243" width="2.7109375" style="216" customWidth="1"/>
    <col min="12244" max="12247" width="14.5703125" style="216"/>
    <col min="12248" max="12248" width="2.7109375" style="216" customWidth="1"/>
    <col min="12249" max="12249" width="48.28515625" style="216" customWidth="1"/>
    <col min="12250" max="12250" width="34.28515625" style="216" customWidth="1"/>
    <col min="12251" max="12251" width="24.28515625" style="216" customWidth="1"/>
    <col min="12252" max="12252" width="16.5703125" style="216" customWidth="1"/>
    <col min="12253" max="12254" width="3.42578125" style="216" customWidth="1"/>
    <col min="12255" max="12255" width="11.42578125" style="216" customWidth="1"/>
    <col min="12256" max="12256" width="21.42578125" style="216" customWidth="1"/>
    <col min="12257" max="12497" width="11.42578125" style="216" customWidth="1"/>
    <col min="12498" max="12499" width="2.7109375" style="216" customWidth="1"/>
    <col min="12500" max="12503" width="14.5703125" style="216"/>
    <col min="12504" max="12504" width="2.7109375" style="216" customWidth="1"/>
    <col min="12505" max="12505" width="48.28515625" style="216" customWidth="1"/>
    <col min="12506" max="12506" width="34.28515625" style="216" customWidth="1"/>
    <col min="12507" max="12507" width="24.28515625" style="216" customWidth="1"/>
    <col min="12508" max="12508" width="16.5703125" style="216" customWidth="1"/>
    <col min="12509" max="12510" width="3.42578125" style="216" customWidth="1"/>
    <col min="12511" max="12511" width="11.42578125" style="216" customWidth="1"/>
    <col min="12512" max="12512" width="21.42578125" style="216" customWidth="1"/>
    <col min="12513" max="12753" width="11.42578125" style="216" customWidth="1"/>
    <col min="12754" max="12755" width="2.7109375" style="216" customWidth="1"/>
    <col min="12756" max="12759" width="14.5703125" style="216"/>
    <col min="12760" max="12760" width="2.7109375" style="216" customWidth="1"/>
    <col min="12761" max="12761" width="48.28515625" style="216" customWidth="1"/>
    <col min="12762" max="12762" width="34.28515625" style="216" customWidth="1"/>
    <col min="12763" max="12763" width="24.28515625" style="216" customWidth="1"/>
    <col min="12764" max="12764" width="16.5703125" style="216" customWidth="1"/>
    <col min="12765" max="12766" width="3.42578125" style="216" customWidth="1"/>
    <col min="12767" max="12767" width="11.42578125" style="216" customWidth="1"/>
    <col min="12768" max="12768" width="21.42578125" style="216" customWidth="1"/>
    <col min="12769" max="13009" width="11.42578125" style="216" customWidth="1"/>
    <col min="13010" max="13011" width="2.7109375" style="216" customWidth="1"/>
    <col min="13012" max="13015" width="14.5703125" style="216"/>
    <col min="13016" max="13016" width="2.7109375" style="216" customWidth="1"/>
    <col min="13017" max="13017" width="48.28515625" style="216" customWidth="1"/>
    <col min="13018" max="13018" width="34.28515625" style="216" customWidth="1"/>
    <col min="13019" max="13019" width="24.28515625" style="216" customWidth="1"/>
    <col min="13020" max="13020" width="16.5703125" style="216" customWidth="1"/>
    <col min="13021" max="13022" width="3.42578125" style="216" customWidth="1"/>
    <col min="13023" max="13023" width="11.42578125" style="216" customWidth="1"/>
    <col min="13024" max="13024" width="21.42578125" style="216" customWidth="1"/>
    <col min="13025" max="13265" width="11.42578125" style="216" customWidth="1"/>
    <col min="13266" max="13267" width="2.7109375" style="216" customWidth="1"/>
    <col min="13268" max="13271" width="14.5703125" style="216"/>
    <col min="13272" max="13272" width="2.7109375" style="216" customWidth="1"/>
    <col min="13273" max="13273" width="48.28515625" style="216" customWidth="1"/>
    <col min="13274" max="13274" width="34.28515625" style="216" customWidth="1"/>
    <col min="13275" max="13275" width="24.28515625" style="216" customWidth="1"/>
    <col min="13276" max="13276" width="16.5703125" style="216" customWidth="1"/>
    <col min="13277" max="13278" width="3.42578125" style="216" customWidth="1"/>
    <col min="13279" max="13279" width="11.42578125" style="216" customWidth="1"/>
    <col min="13280" max="13280" width="21.42578125" style="216" customWidth="1"/>
    <col min="13281" max="13521" width="11.42578125" style="216" customWidth="1"/>
    <col min="13522" max="13523" width="2.7109375" style="216" customWidth="1"/>
    <col min="13524" max="13527" width="14.5703125" style="216"/>
    <col min="13528" max="13528" width="2.7109375" style="216" customWidth="1"/>
    <col min="13529" max="13529" width="48.28515625" style="216" customWidth="1"/>
    <col min="13530" max="13530" width="34.28515625" style="216" customWidth="1"/>
    <col min="13531" max="13531" width="24.28515625" style="216" customWidth="1"/>
    <col min="13532" max="13532" width="16.5703125" style="216" customWidth="1"/>
    <col min="13533" max="13534" width="3.42578125" style="216" customWidth="1"/>
    <col min="13535" max="13535" width="11.42578125" style="216" customWidth="1"/>
    <col min="13536" max="13536" width="21.42578125" style="216" customWidth="1"/>
    <col min="13537" max="13777" width="11.42578125" style="216" customWidth="1"/>
    <col min="13778" max="13779" width="2.7109375" style="216" customWidth="1"/>
    <col min="13780" max="13783" width="14.5703125" style="216"/>
    <col min="13784" max="13784" width="2.7109375" style="216" customWidth="1"/>
    <col min="13785" max="13785" width="48.28515625" style="216" customWidth="1"/>
    <col min="13786" max="13786" width="34.28515625" style="216" customWidth="1"/>
    <col min="13787" max="13787" width="24.28515625" style="216" customWidth="1"/>
    <col min="13788" max="13788" width="16.5703125" style="216" customWidth="1"/>
    <col min="13789" max="13790" width="3.42578125" style="216" customWidth="1"/>
    <col min="13791" max="13791" width="11.42578125" style="216" customWidth="1"/>
    <col min="13792" max="13792" width="21.42578125" style="216" customWidth="1"/>
    <col min="13793" max="14033" width="11.42578125" style="216" customWidth="1"/>
    <col min="14034" max="14035" width="2.7109375" style="216" customWidth="1"/>
    <col min="14036" max="14039" width="14.5703125" style="216"/>
    <col min="14040" max="14040" width="2.7109375" style="216" customWidth="1"/>
    <col min="14041" max="14041" width="48.28515625" style="216" customWidth="1"/>
    <col min="14042" max="14042" width="34.28515625" style="216" customWidth="1"/>
    <col min="14043" max="14043" width="24.28515625" style="216" customWidth="1"/>
    <col min="14044" max="14044" width="16.5703125" style="216" customWidth="1"/>
    <col min="14045" max="14046" width="3.42578125" style="216" customWidth="1"/>
    <col min="14047" max="14047" width="11.42578125" style="216" customWidth="1"/>
    <col min="14048" max="14048" width="21.42578125" style="216" customWidth="1"/>
    <col min="14049" max="14289" width="11.42578125" style="216" customWidth="1"/>
    <col min="14290" max="14291" width="2.7109375" style="216" customWidth="1"/>
    <col min="14292" max="14295" width="14.5703125" style="216"/>
    <col min="14296" max="14296" width="2.7109375" style="216" customWidth="1"/>
    <col min="14297" max="14297" width="48.28515625" style="216" customWidth="1"/>
    <col min="14298" max="14298" width="34.28515625" style="216" customWidth="1"/>
    <col min="14299" max="14299" width="24.28515625" style="216" customWidth="1"/>
    <col min="14300" max="14300" width="16.5703125" style="216" customWidth="1"/>
    <col min="14301" max="14302" width="3.42578125" style="216" customWidth="1"/>
    <col min="14303" max="14303" width="11.42578125" style="216" customWidth="1"/>
    <col min="14304" max="14304" width="21.42578125" style="216" customWidth="1"/>
    <col min="14305" max="14545" width="11.42578125" style="216" customWidth="1"/>
    <col min="14546" max="14547" width="2.7109375" style="216" customWidth="1"/>
    <col min="14548" max="14551" width="14.5703125" style="216"/>
    <col min="14552" max="14552" width="2.7109375" style="216" customWidth="1"/>
    <col min="14553" max="14553" width="48.28515625" style="216" customWidth="1"/>
    <col min="14554" max="14554" width="34.28515625" style="216" customWidth="1"/>
    <col min="14555" max="14555" width="24.28515625" style="216" customWidth="1"/>
    <col min="14556" max="14556" width="16.5703125" style="216" customWidth="1"/>
    <col min="14557" max="14558" width="3.42578125" style="216" customWidth="1"/>
    <col min="14559" max="14559" width="11.42578125" style="216" customWidth="1"/>
    <col min="14560" max="14560" width="21.42578125" style="216" customWidth="1"/>
    <col min="14561" max="14801" width="11.42578125" style="216" customWidth="1"/>
    <col min="14802" max="14803" width="2.7109375" style="216" customWidth="1"/>
    <col min="14804" max="14807" width="14.5703125" style="216"/>
    <col min="14808" max="14808" width="2.7109375" style="216" customWidth="1"/>
    <col min="14809" max="14809" width="48.28515625" style="216" customWidth="1"/>
    <col min="14810" max="14810" width="34.28515625" style="216" customWidth="1"/>
    <col min="14811" max="14811" width="24.28515625" style="216" customWidth="1"/>
    <col min="14812" max="14812" width="16.5703125" style="216" customWidth="1"/>
    <col min="14813" max="14814" width="3.42578125" style="216" customWidth="1"/>
    <col min="14815" max="14815" width="11.42578125" style="216" customWidth="1"/>
    <col min="14816" max="14816" width="21.42578125" style="216" customWidth="1"/>
    <col min="14817" max="15057" width="11.42578125" style="216" customWidth="1"/>
    <col min="15058" max="15059" width="2.7109375" style="216" customWidth="1"/>
    <col min="15060" max="15063" width="14.5703125" style="216"/>
    <col min="15064" max="15064" width="2.7109375" style="216" customWidth="1"/>
    <col min="15065" max="15065" width="48.28515625" style="216" customWidth="1"/>
    <col min="15066" max="15066" width="34.28515625" style="216" customWidth="1"/>
    <col min="15067" max="15067" width="24.28515625" style="216" customWidth="1"/>
    <col min="15068" max="15068" width="16.5703125" style="216" customWidth="1"/>
    <col min="15069" max="15070" width="3.42578125" style="216" customWidth="1"/>
    <col min="15071" max="15071" width="11.42578125" style="216" customWidth="1"/>
    <col min="15072" max="15072" width="21.42578125" style="216" customWidth="1"/>
    <col min="15073" max="15313" width="11.42578125" style="216" customWidth="1"/>
    <col min="15314" max="15315" width="2.7109375" style="216" customWidth="1"/>
    <col min="15316" max="15319" width="14.5703125" style="216"/>
    <col min="15320" max="15320" width="2.7109375" style="216" customWidth="1"/>
    <col min="15321" max="15321" width="48.28515625" style="216" customWidth="1"/>
    <col min="15322" max="15322" width="34.28515625" style="216" customWidth="1"/>
    <col min="15323" max="15323" width="24.28515625" style="216" customWidth="1"/>
    <col min="15324" max="15324" width="16.5703125" style="216" customWidth="1"/>
    <col min="15325" max="15326" width="3.42578125" style="216" customWidth="1"/>
    <col min="15327" max="15327" width="11.42578125" style="216" customWidth="1"/>
    <col min="15328" max="15328" width="21.42578125" style="216" customWidth="1"/>
    <col min="15329" max="15569" width="11.42578125" style="216" customWidth="1"/>
    <col min="15570" max="15571" width="2.7109375" style="216" customWidth="1"/>
    <col min="15572" max="15575" width="14.5703125" style="216"/>
    <col min="15576" max="15576" width="2.7109375" style="216" customWidth="1"/>
    <col min="15577" max="15577" width="48.28515625" style="216" customWidth="1"/>
    <col min="15578" max="15578" width="34.28515625" style="216" customWidth="1"/>
    <col min="15579" max="15579" width="24.28515625" style="216" customWidth="1"/>
    <col min="15580" max="15580" width="16.5703125" style="216" customWidth="1"/>
    <col min="15581" max="15582" width="3.42578125" style="216" customWidth="1"/>
    <col min="15583" max="15583" width="11.42578125" style="216" customWidth="1"/>
    <col min="15584" max="15584" width="21.42578125" style="216" customWidth="1"/>
    <col min="15585" max="15825" width="11.42578125" style="216" customWidth="1"/>
    <col min="15826" max="15827" width="2.7109375" style="216" customWidth="1"/>
    <col min="15828" max="15831" width="14.5703125" style="216"/>
    <col min="15832" max="15832" width="2.7109375" style="216" customWidth="1"/>
    <col min="15833" max="15833" width="48.28515625" style="216" customWidth="1"/>
    <col min="15834" max="15834" width="34.28515625" style="216" customWidth="1"/>
    <col min="15835" max="15835" width="24.28515625" style="216" customWidth="1"/>
    <col min="15836" max="15836" width="16.5703125" style="216" customWidth="1"/>
    <col min="15837" max="15838" width="3.42578125" style="216" customWidth="1"/>
    <col min="15839" max="15839" width="11.42578125" style="216" customWidth="1"/>
    <col min="15840" max="15840" width="21.42578125" style="216" customWidth="1"/>
    <col min="15841" max="16081" width="11.42578125" style="216" customWidth="1"/>
    <col min="16082" max="16083" width="2.7109375" style="216" customWidth="1"/>
    <col min="16084" max="16087" width="14.5703125" style="216"/>
    <col min="16088" max="16088" width="2.7109375" style="216" customWidth="1"/>
    <col min="16089" max="16089" width="48.28515625" style="216" customWidth="1"/>
    <col min="16090" max="16090" width="34.28515625" style="216" customWidth="1"/>
    <col min="16091" max="16091" width="24.28515625" style="216" customWidth="1"/>
    <col min="16092" max="16092" width="16.5703125" style="216" customWidth="1"/>
    <col min="16093" max="16094" width="3.42578125" style="216" customWidth="1"/>
    <col min="16095" max="16095" width="11.42578125" style="216" customWidth="1"/>
    <col min="16096" max="16096" width="21.42578125" style="216" customWidth="1"/>
    <col min="16097" max="16337" width="11.42578125" style="216" customWidth="1"/>
    <col min="16338" max="16339" width="2.7109375" style="216" customWidth="1"/>
    <col min="16340" max="16384" width="14.5703125" style="216"/>
  </cols>
  <sheetData>
    <row r="1" spans="1:7" ht="15.75" thickBot="1" x14ac:dyDescent="0.3">
      <c r="A1" s="215"/>
    </row>
    <row r="2" spans="1:7" ht="22.5" customHeight="1" x14ac:dyDescent="0.25">
      <c r="A2" s="220"/>
      <c r="B2" s="221" t="s">
        <v>278</v>
      </c>
      <c r="C2" s="222"/>
      <c r="D2" s="223" t="s">
        <v>279</v>
      </c>
      <c r="E2" s="224" t="s">
        <v>279</v>
      </c>
      <c r="F2" s="224" t="s">
        <v>279</v>
      </c>
      <c r="G2" s="225" t="s">
        <v>279</v>
      </c>
    </row>
    <row r="3" spans="1:7" ht="22.5" customHeight="1" x14ac:dyDescent="0.25">
      <c r="A3" s="220"/>
      <c r="B3" s="226"/>
      <c r="C3" s="227"/>
      <c r="D3" s="228" t="s">
        <v>280</v>
      </c>
      <c r="E3" s="229" t="s">
        <v>281</v>
      </c>
      <c r="F3" s="229" t="s">
        <v>282</v>
      </c>
      <c r="G3" s="230" t="s">
        <v>283</v>
      </c>
    </row>
    <row r="4" spans="1:7" ht="22.5" customHeight="1" thickBot="1" x14ac:dyDescent="0.3">
      <c r="A4" s="220"/>
      <c r="B4" s="226"/>
      <c r="C4" s="227"/>
      <c r="D4" s="228" t="s">
        <v>284</v>
      </c>
      <c r="E4" s="229" t="s">
        <v>285</v>
      </c>
      <c r="F4" s="229" t="s">
        <v>286</v>
      </c>
      <c r="G4" s="230"/>
    </row>
    <row r="5" spans="1:7" x14ac:dyDescent="0.25">
      <c r="A5" s="220"/>
      <c r="B5" s="231" t="s">
        <v>287</v>
      </c>
      <c r="C5" s="232" t="s">
        <v>288</v>
      </c>
      <c r="D5" s="233">
        <f>SUM(D6:D8)</f>
        <v>0</v>
      </c>
      <c r="E5" s="232">
        <f>SUM(E6:E8)</f>
        <v>0</v>
      </c>
      <c r="F5" s="234">
        <f>SUM(F6:F8)</f>
        <v>0</v>
      </c>
      <c r="G5" s="235">
        <f>SUM(G6:G8)</f>
        <v>0</v>
      </c>
    </row>
    <row r="6" spans="1:7" x14ac:dyDescent="0.25">
      <c r="A6" s="220"/>
      <c r="B6" s="236" t="s">
        <v>289</v>
      </c>
      <c r="C6" s="237" t="s">
        <v>290</v>
      </c>
      <c r="D6" s="238"/>
      <c r="E6" s="239"/>
      <c r="F6" s="240"/>
      <c r="G6" s="241">
        <f>+D6-E6</f>
        <v>0</v>
      </c>
    </row>
    <row r="7" spans="1:7" x14ac:dyDescent="0.25">
      <c r="A7" s="220"/>
      <c r="B7" s="236" t="s">
        <v>291</v>
      </c>
      <c r="C7" s="237" t="s">
        <v>290</v>
      </c>
      <c r="D7" s="238"/>
      <c r="E7" s="239"/>
      <c r="F7" s="240"/>
      <c r="G7" s="241">
        <f>+D7-E7</f>
        <v>0</v>
      </c>
    </row>
    <row r="8" spans="1:7" ht="15.75" thickBot="1" x14ac:dyDescent="0.3">
      <c r="A8" s="220"/>
      <c r="B8" s="242" t="s">
        <v>292</v>
      </c>
      <c r="C8" s="243" t="s">
        <v>290</v>
      </c>
      <c r="D8" s="244"/>
      <c r="E8" s="245"/>
      <c r="F8" s="246"/>
      <c r="G8" s="247">
        <f>+F8</f>
        <v>0</v>
      </c>
    </row>
    <row r="9" spans="1:7" x14ac:dyDescent="0.25">
      <c r="A9" s="220"/>
      <c r="B9" s="248" t="s">
        <v>293</v>
      </c>
      <c r="C9" s="249" t="s">
        <v>290</v>
      </c>
      <c r="D9" s="250"/>
      <c r="E9" s="251"/>
      <c r="F9" s="252"/>
      <c r="G9" s="253"/>
    </row>
    <row r="10" spans="1:7" x14ac:dyDescent="0.25">
      <c r="A10" s="220"/>
      <c r="B10" s="254" t="s">
        <v>294</v>
      </c>
      <c r="C10" s="237" t="s">
        <v>290</v>
      </c>
      <c r="D10" s="238"/>
      <c r="E10" s="255"/>
      <c r="F10" s="256"/>
      <c r="G10" s="257">
        <f>+D10</f>
        <v>0</v>
      </c>
    </row>
    <row r="11" spans="1:7" ht="15" customHeight="1" thickBot="1" x14ac:dyDescent="0.3">
      <c r="A11" s="220"/>
      <c r="B11" s="258" t="s">
        <v>295</v>
      </c>
      <c r="C11" s="259" t="s">
        <v>290</v>
      </c>
      <c r="D11" s="238"/>
      <c r="E11" s="260"/>
      <c r="F11" s="240"/>
      <c r="G11" s="261">
        <f>+F11</f>
        <v>0</v>
      </c>
    </row>
    <row r="12" spans="1:7" ht="15" customHeight="1" x14ac:dyDescent="0.25">
      <c r="A12" s="220"/>
      <c r="B12" s="262" t="s">
        <v>296</v>
      </c>
      <c r="C12" s="232" t="s">
        <v>288</v>
      </c>
      <c r="D12" s="233">
        <f>SUM(D13:D14)</f>
        <v>0</v>
      </c>
      <c r="E12" s="232">
        <f t="shared" ref="E12:G12" si="0">SUM(E13:E14)</f>
        <v>0</v>
      </c>
      <c r="F12" s="234">
        <f t="shared" si="0"/>
        <v>0</v>
      </c>
      <c r="G12" s="235">
        <f t="shared" si="0"/>
        <v>0</v>
      </c>
    </row>
    <row r="13" spans="1:7" ht="15" customHeight="1" x14ac:dyDescent="0.25">
      <c r="A13" s="220"/>
      <c r="B13" s="236" t="s">
        <v>297</v>
      </c>
      <c r="C13" s="237" t="s">
        <v>290</v>
      </c>
      <c r="D13" s="238"/>
      <c r="E13" s="239"/>
      <c r="F13" s="240"/>
      <c r="G13" s="257">
        <f>+D13</f>
        <v>0</v>
      </c>
    </row>
    <row r="14" spans="1:7" ht="15" customHeight="1" thickBot="1" x14ac:dyDescent="0.3">
      <c r="A14" s="220"/>
      <c r="B14" s="242" t="s">
        <v>298</v>
      </c>
      <c r="C14" s="243" t="s">
        <v>290</v>
      </c>
      <c r="D14" s="244"/>
      <c r="E14" s="245"/>
      <c r="F14" s="246"/>
      <c r="G14" s="263"/>
    </row>
    <row r="15" spans="1:7" x14ac:dyDescent="0.25">
      <c r="A15" s="220"/>
      <c r="B15" s="231" t="s">
        <v>299</v>
      </c>
      <c r="C15" s="264" t="s">
        <v>288</v>
      </c>
      <c r="D15" s="233">
        <f>SUM(D16:D26)</f>
        <v>0</v>
      </c>
      <c r="E15" s="232">
        <f t="shared" ref="E15:F15" si="1">SUM(E16:E26)</f>
        <v>0</v>
      </c>
      <c r="F15" s="234">
        <f t="shared" si="1"/>
        <v>0</v>
      </c>
      <c r="G15" s="235">
        <f>SUM(G16:G26)</f>
        <v>0</v>
      </c>
    </row>
    <row r="16" spans="1:7" x14ac:dyDescent="0.25">
      <c r="A16" s="220"/>
      <c r="B16" s="265" t="s">
        <v>300</v>
      </c>
      <c r="C16" s="237" t="s">
        <v>290</v>
      </c>
      <c r="D16" s="266"/>
      <c r="E16" s="249"/>
      <c r="F16" s="267"/>
      <c r="G16" s="268">
        <f t="shared" ref="G16:G18" si="2">+D16</f>
        <v>0</v>
      </c>
    </row>
    <row r="17" spans="1:8" x14ac:dyDescent="0.25">
      <c r="A17" s="220"/>
      <c r="B17" s="265" t="s">
        <v>301</v>
      </c>
      <c r="C17" s="237" t="s">
        <v>290</v>
      </c>
      <c r="D17" s="266"/>
      <c r="E17" s="249"/>
      <c r="F17" s="269"/>
      <c r="G17" s="268">
        <f t="shared" si="2"/>
        <v>0</v>
      </c>
    </row>
    <row r="18" spans="1:8" x14ac:dyDescent="0.25">
      <c r="A18" s="220"/>
      <c r="B18" s="270" t="s">
        <v>302</v>
      </c>
      <c r="C18" s="237" t="s">
        <v>290</v>
      </c>
      <c r="D18" s="266"/>
      <c r="E18" s="269"/>
      <c r="F18" s="269"/>
      <c r="G18" s="268">
        <f t="shared" si="2"/>
        <v>0</v>
      </c>
    </row>
    <row r="19" spans="1:8" x14ac:dyDescent="0.25">
      <c r="A19" s="220"/>
      <c r="B19" s="271" t="s">
        <v>303</v>
      </c>
      <c r="C19" s="237" t="s">
        <v>290</v>
      </c>
      <c r="D19" s="266"/>
      <c r="E19" s="269"/>
      <c r="F19" s="269"/>
      <c r="G19" s="268">
        <f>+D19</f>
        <v>0</v>
      </c>
    </row>
    <row r="20" spans="1:8" ht="15" customHeight="1" x14ac:dyDescent="0.25">
      <c r="A20" s="220"/>
      <c r="B20" s="270" t="s">
        <v>304</v>
      </c>
      <c r="C20" s="237" t="s">
        <v>290</v>
      </c>
      <c r="D20" s="266"/>
      <c r="E20" s="269"/>
      <c r="F20" s="269"/>
      <c r="G20" s="272"/>
    </row>
    <row r="21" spans="1:8" ht="15" customHeight="1" x14ac:dyDescent="0.25">
      <c r="A21" s="220"/>
      <c r="B21" s="270" t="s">
        <v>305</v>
      </c>
      <c r="C21" s="237" t="s">
        <v>290</v>
      </c>
      <c r="D21" s="266"/>
      <c r="E21" s="269"/>
      <c r="F21" s="269"/>
      <c r="G21" s="272"/>
    </row>
    <row r="22" spans="1:8" ht="15" customHeight="1" x14ac:dyDescent="0.25">
      <c r="A22" s="220"/>
      <c r="B22" s="270" t="s">
        <v>306</v>
      </c>
      <c r="C22" s="237" t="s">
        <v>290</v>
      </c>
      <c r="D22" s="266"/>
      <c r="E22" s="269"/>
      <c r="F22" s="269"/>
      <c r="G22" s="272"/>
    </row>
    <row r="23" spans="1:8" ht="15" customHeight="1" x14ac:dyDescent="0.25">
      <c r="A23" s="220"/>
      <c r="B23" s="270" t="s">
        <v>307</v>
      </c>
      <c r="C23" s="237" t="s">
        <v>290</v>
      </c>
      <c r="D23" s="273"/>
      <c r="E23" s="274"/>
      <c r="F23" s="274"/>
      <c r="G23" s="272"/>
    </row>
    <row r="24" spans="1:8" ht="15" customHeight="1" x14ac:dyDescent="0.25">
      <c r="A24" s="220"/>
      <c r="B24" s="270" t="s">
        <v>308</v>
      </c>
      <c r="C24" s="237" t="s">
        <v>290</v>
      </c>
      <c r="D24" s="275"/>
      <c r="E24" s="276"/>
      <c r="F24" s="276"/>
      <c r="G24" s="277"/>
    </row>
    <row r="25" spans="1:8" ht="15" customHeight="1" x14ac:dyDescent="0.25">
      <c r="A25" s="220"/>
      <c r="B25" s="270" t="s">
        <v>309</v>
      </c>
      <c r="C25" s="237" t="s">
        <v>290</v>
      </c>
      <c r="D25" s="275"/>
      <c r="E25" s="276"/>
      <c r="F25" s="276"/>
      <c r="G25" s="277"/>
    </row>
    <row r="26" spans="1:8" ht="15" customHeight="1" thickBot="1" x14ac:dyDescent="0.3">
      <c r="A26" s="220"/>
      <c r="B26" s="278" t="s">
        <v>310</v>
      </c>
      <c r="C26" s="243" t="s">
        <v>290</v>
      </c>
      <c r="D26" s="279"/>
      <c r="E26" s="280"/>
      <c r="F26" s="281"/>
      <c r="G26" s="263"/>
    </row>
    <row r="27" spans="1:8" ht="15" customHeight="1" x14ac:dyDescent="0.25">
      <c r="A27" s="220"/>
      <c r="B27" s="282" t="s">
        <v>311</v>
      </c>
      <c r="C27" s="249" t="s">
        <v>290</v>
      </c>
      <c r="D27" s="250"/>
      <c r="E27" s="251"/>
      <c r="F27" s="252"/>
      <c r="G27" s="253"/>
    </row>
    <row r="28" spans="1:8" ht="15.75" customHeight="1" thickBot="1" x14ac:dyDescent="0.3">
      <c r="A28" s="220"/>
      <c r="B28" s="283" t="s">
        <v>312</v>
      </c>
      <c r="C28" s="243" t="s">
        <v>290</v>
      </c>
      <c r="D28" s="284"/>
      <c r="E28" s="245"/>
      <c r="F28" s="285"/>
      <c r="G28" s="263"/>
    </row>
    <row r="29" spans="1:8" ht="15.75" thickBot="1" x14ac:dyDescent="0.3">
      <c r="A29" s="220"/>
      <c r="B29" s="286" t="s">
        <v>313</v>
      </c>
      <c r="C29" s="287" t="s">
        <v>288</v>
      </c>
      <c r="D29" s="288">
        <f>+D5+D9+D10+D11+D12+D15+D27+D28</f>
        <v>0</v>
      </c>
      <c r="E29" s="287">
        <f>+E5+E9+E10+E11+E12+E15+E27+E28</f>
        <v>0</v>
      </c>
      <c r="F29" s="287">
        <f>+F5+F9+F10+F11+F12+F15+F27+F28</f>
        <v>0</v>
      </c>
      <c r="G29" s="289">
        <f>+G5+G10+G15</f>
        <v>0</v>
      </c>
    </row>
    <row r="30" spans="1:8" ht="15" customHeight="1" x14ac:dyDescent="0.25">
      <c r="A30" s="220"/>
      <c r="B30" s="262" t="s">
        <v>314</v>
      </c>
      <c r="C30" s="290" t="s">
        <v>315</v>
      </c>
      <c r="D30" s="266"/>
      <c r="E30" s="269"/>
      <c r="F30" s="269"/>
      <c r="G30" s="291">
        <f t="shared" ref="G30:G54" si="3">+F30+D30-E30</f>
        <v>0</v>
      </c>
      <c r="H30"/>
    </row>
    <row r="31" spans="1:8" ht="15" customHeight="1" x14ac:dyDescent="0.25">
      <c r="A31" s="220"/>
      <c r="B31" s="292" t="s">
        <v>316</v>
      </c>
      <c r="C31" s="293" t="s">
        <v>315</v>
      </c>
      <c r="D31" s="266"/>
      <c r="E31" s="269"/>
      <c r="F31" s="269"/>
      <c r="G31" s="291">
        <f t="shared" si="3"/>
        <v>0</v>
      </c>
      <c r="H31"/>
    </row>
    <row r="32" spans="1:8" ht="15" customHeight="1" x14ac:dyDescent="0.25">
      <c r="A32" s="220"/>
      <c r="B32" s="292" t="s">
        <v>317</v>
      </c>
      <c r="C32" s="293" t="s">
        <v>315</v>
      </c>
      <c r="D32" s="266"/>
      <c r="E32" s="269"/>
      <c r="F32" s="269"/>
      <c r="G32" s="291">
        <f t="shared" si="3"/>
        <v>0</v>
      </c>
    </row>
    <row r="33" spans="1:8" ht="15" customHeight="1" x14ac:dyDescent="0.25">
      <c r="A33" s="220"/>
      <c r="B33" s="292" t="s">
        <v>318</v>
      </c>
      <c r="C33" s="293" t="s">
        <v>315</v>
      </c>
      <c r="D33" s="266"/>
      <c r="E33" s="269"/>
      <c r="F33" s="294"/>
      <c r="G33" s="291">
        <f t="shared" si="3"/>
        <v>0</v>
      </c>
      <c r="H33"/>
    </row>
    <row r="34" spans="1:8" ht="15" customHeight="1" x14ac:dyDescent="0.25">
      <c r="A34" s="220"/>
      <c r="B34" s="292" t="s">
        <v>319</v>
      </c>
      <c r="C34" s="293" t="s">
        <v>315</v>
      </c>
      <c r="D34" s="266"/>
      <c r="E34" s="269"/>
      <c r="F34" s="294"/>
      <c r="G34" s="291">
        <f t="shared" si="3"/>
        <v>0</v>
      </c>
      <c r="H34"/>
    </row>
    <row r="35" spans="1:8" x14ac:dyDescent="0.25">
      <c r="A35" s="220"/>
      <c r="B35" s="292" t="s">
        <v>320</v>
      </c>
      <c r="C35" s="293" t="s">
        <v>315</v>
      </c>
      <c r="D35" s="266">
        <f>+'balance 2023 '!C52+'balance 2023 '!C53+'balance 2023 '!C54+'balance 2023 '!C55</f>
        <v>39860923.266599998</v>
      </c>
      <c r="E35" s="269">
        <f>+'balance 2023 '!H37+'balance 2023 '!H38+'balance 2023 '!H39+'balance 2023 '!G18</f>
        <v>2761771.0867999997</v>
      </c>
      <c r="F35" s="294"/>
      <c r="G35" s="291">
        <f t="shared" si="3"/>
        <v>37099152.179799996</v>
      </c>
      <c r="H35"/>
    </row>
    <row r="36" spans="1:8" x14ac:dyDescent="0.25">
      <c r="A36" s="220"/>
      <c r="B36" s="292" t="s">
        <v>321</v>
      </c>
      <c r="C36" s="293" t="s">
        <v>315</v>
      </c>
      <c r="D36" s="266"/>
      <c r="E36" s="269"/>
      <c r="F36" s="294"/>
      <c r="G36" s="291">
        <f t="shared" si="3"/>
        <v>0</v>
      </c>
      <c r="H36"/>
    </row>
    <row r="37" spans="1:8" x14ac:dyDescent="0.25">
      <c r="A37" s="220"/>
      <c r="B37" s="292" t="s">
        <v>322</v>
      </c>
      <c r="C37" s="293" t="s">
        <v>315</v>
      </c>
      <c r="D37" s="266"/>
      <c r="E37" s="269"/>
      <c r="F37" s="294"/>
      <c r="G37" s="291">
        <f t="shared" si="3"/>
        <v>0</v>
      </c>
      <c r="H37"/>
    </row>
    <row r="38" spans="1:8" x14ac:dyDescent="0.25">
      <c r="A38" s="220"/>
      <c r="B38" s="292" t="s">
        <v>323</v>
      </c>
      <c r="C38" s="293" t="s">
        <v>315</v>
      </c>
      <c r="D38" s="266"/>
      <c r="E38" s="269"/>
      <c r="F38" s="294"/>
      <c r="G38" s="291">
        <f t="shared" si="3"/>
        <v>0</v>
      </c>
      <c r="H38"/>
    </row>
    <row r="39" spans="1:8" x14ac:dyDescent="0.25">
      <c r="A39" s="220"/>
      <c r="B39" s="292" t="s">
        <v>324</v>
      </c>
      <c r="C39" s="293" t="s">
        <v>315</v>
      </c>
      <c r="D39" s="275"/>
      <c r="E39" s="269"/>
      <c r="F39" s="294"/>
      <c r="G39" s="291">
        <f t="shared" si="3"/>
        <v>0</v>
      </c>
      <c r="H39"/>
    </row>
    <row r="40" spans="1:8" x14ac:dyDescent="0.25">
      <c r="A40" s="220"/>
      <c r="B40" s="295" t="s">
        <v>325</v>
      </c>
      <c r="C40" s="293" t="s">
        <v>315</v>
      </c>
      <c r="D40" s="275"/>
      <c r="E40" s="269"/>
      <c r="F40" s="294"/>
      <c r="G40" s="291">
        <f t="shared" si="3"/>
        <v>0</v>
      </c>
      <c r="H40"/>
    </row>
    <row r="41" spans="1:8" ht="15" customHeight="1" x14ac:dyDescent="0.25">
      <c r="A41" s="220"/>
      <c r="B41" s="295" t="s">
        <v>326</v>
      </c>
      <c r="C41" s="293" t="s">
        <v>315</v>
      </c>
      <c r="D41" s="266"/>
      <c r="E41" s="269"/>
      <c r="F41" s="294"/>
      <c r="G41" s="291">
        <f t="shared" si="3"/>
        <v>0</v>
      </c>
    </row>
    <row r="42" spans="1:8" ht="15" customHeight="1" x14ac:dyDescent="0.25">
      <c r="A42" s="220"/>
      <c r="B42" s="295" t="s">
        <v>327</v>
      </c>
      <c r="C42" s="293" t="s">
        <v>315</v>
      </c>
      <c r="D42" s="266"/>
      <c r="E42" s="269"/>
      <c r="F42" s="294"/>
      <c r="G42" s="291">
        <f t="shared" si="3"/>
        <v>0</v>
      </c>
    </row>
    <row r="43" spans="1:8" ht="15" customHeight="1" x14ac:dyDescent="0.25">
      <c r="A43" s="220"/>
      <c r="B43" s="295" t="s">
        <v>328</v>
      </c>
      <c r="C43" s="293" t="s">
        <v>315</v>
      </c>
      <c r="D43" s="266"/>
      <c r="E43" s="269"/>
      <c r="F43" s="294"/>
      <c r="G43" s="291">
        <f t="shared" si="3"/>
        <v>0</v>
      </c>
    </row>
    <row r="44" spans="1:8" ht="15" customHeight="1" x14ac:dyDescent="0.25">
      <c r="A44" s="220"/>
      <c r="B44" s="295" t="s">
        <v>329</v>
      </c>
      <c r="C44" s="293" t="s">
        <v>315</v>
      </c>
      <c r="D44" s="266"/>
      <c r="E44" s="269"/>
      <c r="F44" s="294"/>
      <c r="G44" s="291">
        <f t="shared" si="3"/>
        <v>0</v>
      </c>
    </row>
    <row r="45" spans="1:8" x14ac:dyDescent="0.25">
      <c r="A45" s="220"/>
      <c r="B45" s="296" t="s">
        <v>330</v>
      </c>
      <c r="C45" s="293" t="s">
        <v>315</v>
      </c>
      <c r="D45" s="266"/>
      <c r="E45" s="269"/>
      <c r="F45" s="294"/>
      <c r="G45" s="291">
        <f t="shared" si="3"/>
        <v>0</v>
      </c>
    </row>
    <row r="46" spans="1:8" x14ac:dyDescent="0.25">
      <c r="A46" s="220"/>
      <c r="B46" s="296" t="s">
        <v>331</v>
      </c>
      <c r="C46" s="293" t="s">
        <v>315</v>
      </c>
      <c r="D46" s="266"/>
      <c r="E46" s="269"/>
      <c r="F46" s="294"/>
      <c r="G46" s="291">
        <f t="shared" si="3"/>
        <v>0</v>
      </c>
    </row>
    <row r="47" spans="1:8" ht="15" customHeight="1" x14ac:dyDescent="0.25">
      <c r="A47" s="220"/>
      <c r="B47" s="296" t="s">
        <v>332</v>
      </c>
      <c r="C47" s="293" t="s">
        <v>315</v>
      </c>
      <c r="D47" s="266"/>
      <c r="E47" s="269"/>
      <c r="F47" s="294"/>
      <c r="G47" s="291">
        <f t="shared" si="3"/>
        <v>0</v>
      </c>
    </row>
    <row r="48" spans="1:8" ht="15" customHeight="1" x14ac:dyDescent="0.25">
      <c r="A48" s="220"/>
      <c r="B48" s="296" t="s">
        <v>333</v>
      </c>
      <c r="C48" s="293" t="s">
        <v>315</v>
      </c>
      <c r="D48" s="266"/>
      <c r="E48" s="269"/>
      <c r="F48" s="294"/>
      <c r="G48" s="291">
        <f t="shared" si="3"/>
        <v>0</v>
      </c>
    </row>
    <row r="49" spans="1:7" ht="15" customHeight="1" x14ac:dyDescent="0.25">
      <c r="A49" s="220"/>
      <c r="B49" s="295" t="s">
        <v>334</v>
      </c>
      <c r="C49" s="293" t="s">
        <v>315</v>
      </c>
      <c r="D49" s="266"/>
      <c r="E49" s="269"/>
      <c r="F49" s="294"/>
      <c r="G49" s="291">
        <f t="shared" si="3"/>
        <v>0</v>
      </c>
    </row>
    <row r="50" spans="1:7" x14ac:dyDescent="0.25">
      <c r="A50" s="220"/>
      <c r="B50" s="295" t="s">
        <v>335</v>
      </c>
      <c r="C50" s="293" t="s">
        <v>315</v>
      </c>
      <c r="D50" s="266"/>
      <c r="E50" s="269"/>
      <c r="F50" s="294"/>
      <c r="G50" s="291">
        <f>+D50+F50-E50</f>
        <v>0</v>
      </c>
    </row>
    <row r="51" spans="1:7" ht="15" customHeight="1" x14ac:dyDescent="0.25">
      <c r="A51" s="220"/>
      <c r="B51" s="295" t="s">
        <v>336</v>
      </c>
      <c r="C51" s="293" t="s">
        <v>315</v>
      </c>
      <c r="D51" s="266"/>
      <c r="E51" s="269"/>
      <c r="F51" s="294"/>
      <c r="G51" s="291">
        <f t="shared" si="3"/>
        <v>0</v>
      </c>
    </row>
    <row r="52" spans="1:7" x14ac:dyDescent="0.25">
      <c r="A52" s="220"/>
      <c r="B52" s="295" t="s">
        <v>337</v>
      </c>
      <c r="C52" s="293" t="s">
        <v>315</v>
      </c>
      <c r="D52" s="266"/>
      <c r="E52" s="269"/>
      <c r="F52" s="294"/>
      <c r="G52" s="291">
        <f t="shared" si="3"/>
        <v>0</v>
      </c>
    </row>
    <row r="53" spans="1:7" ht="16.5" customHeight="1" x14ac:dyDescent="0.25">
      <c r="A53" s="220"/>
      <c r="B53" s="292" t="s">
        <v>338</v>
      </c>
      <c r="C53" s="293" t="s">
        <v>315</v>
      </c>
      <c r="D53" s="266"/>
      <c r="E53" s="269"/>
      <c r="F53" s="294"/>
      <c r="G53" s="291">
        <f t="shared" si="3"/>
        <v>0</v>
      </c>
    </row>
    <row r="54" spans="1:7" x14ac:dyDescent="0.25">
      <c r="A54" s="220"/>
      <c r="B54" s="292" t="s">
        <v>339</v>
      </c>
      <c r="C54" s="293" t="s">
        <v>315</v>
      </c>
      <c r="D54" s="266"/>
      <c r="E54" s="269"/>
      <c r="F54" s="294"/>
      <c r="G54" s="291">
        <f t="shared" si="3"/>
        <v>0</v>
      </c>
    </row>
    <row r="55" spans="1:7" x14ac:dyDescent="0.25">
      <c r="A55" s="220"/>
      <c r="B55" s="292" t="s">
        <v>340</v>
      </c>
      <c r="C55" s="297"/>
      <c r="D55" s="266"/>
      <c r="E55" s="269"/>
      <c r="F55" s="294"/>
      <c r="G55" s="291"/>
    </row>
    <row r="56" spans="1:7" ht="15" customHeight="1" x14ac:dyDescent="0.25">
      <c r="A56" s="220"/>
      <c r="B56" s="270" t="s">
        <v>341</v>
      </c>
      <c r="C56" s="293" t="s">
        <v>315</v>
      </c>
      <c r="D56" s="266"/>
      <c r="E56" s="269"/>
      <c r="F56" s="294"/>
      <c r="G56" s="298"/>
    </row>
    <row r="57" spans="1:7" ht="15" customHeight="1" x14ac:dyDescent="0.25">
      <c r="A57" s="220"/>
      <c r="B57" s="270" t="s">
        <v>342</v>
      </c>
      <c r="C57" s="293" t="s">
        <v>315</v>
      </c>
      <c r="D57" s="266"/>
      <c r="E57" s="269"/>
      <c r="F57" s="294"/>
      <c r="G57" s="299"/>
    </row>
    <row r="58" spans="1:7" ht="15" customHeight="1" x14ac:dyDescent="0.25">
      <c r="A58" s="220"/>
      <c r="B58" s="270" t="str">
        <f>+'[3]balance 2023 los andes antes im'!B70</f>
        <v>INTERESES DE LEASING</v>
      </c>
      <c r="C58" s="293"/>
      <c r="D58" s="266"/>
      <c r="E58" s="269"/>
      <c r="F58" s="269"/>
      <c r="G58" s="299"/>
    </row>
    <row r="59" spans="1:7" ht="15" customHeight="1" x14ac:dyDescent="0.25">
      <c r="A59" s="220"/>
      <c r="B59" s="270" t="str">
        <f>+'[3]balance 2023 los andes antes im'!B66</f>
        <v>CASTIGO DE MERCADERIA</v>
      </c>
      <c r="C59" s="293" t="s">
        <v>315</v>
      </c>
      <c r="D59" s="266"/>
      <c r="E59" s="269"/>
      <c r="F59" s="269"/>
      <c r="G59" s="299"/>
    </row>
    <row r="60" spans="1:7" ht="15" customHeight="1" x14ac:dyDescent="0.25">
      <c r="A60" s="220"/>
      <c r="B60" s="270" t="str">
        <f>+'[3]balance 2023 los andes antes im'!B67</f>
        <v>MERMA MERCADERIA</v>
      </c>
      <c r="C60" s="293" t="s">
        <v>315</v>
      </c>
      <c r="D60" s="266"/>
      <c r="E60" s="269"/>
      <c r="F60" s="269"/>
      <c r="G60" s="299"/>
    </row>
    <row r="61" spans="1:7" ht="15" customHeight="1" x14ac:dyDescent="0.25">
      <c r="A61" s="220"/>
      <c r="B61" s="270" t="str">
        <f>+'[3]balance 2022 antes impto andes'!B57</f>
        <v>GASTOS DEUDORES INCOBRABLES</v>
      </c>
      <c r="C61" s="293" t="s">
        <v>315</v>
      </c>
      <c r="D61" s="266"/>
      <c r="E61" s="269"/>
      <c r="F61" s="269"/>
      <c r="G61" s="300"/>
    </row>
    <row r="62" spans="1:7" ht="15" customHeight="1" x14ac:dyDescent="0.25">
      <c r="A62" s="220"/>
      <c r="B62" s="270" t="str">
        <f>+'[3]balance 2023 los andes antes im'!B65</f>
        <v xml:space="preserve">CASTIGO DEUDORES POR VENTAS </v>
      </c>
      <c r="C62" s="293"/>
      <c r="D62" s="266"/>
      <c r="E62" s="269"/>
      <c r="F62" s="269"/>
      <c r="G62" s="300"/>
    </row>
    <row r="63" spans="1:7" ht="15" customHeight="1" x14ac:dyDescent="0.25">
      <c r="A63" s="220"/>
      <c r="B63" s="270" t="str">
        <f>+'[3]balance 2022 antes impto andes'!B49</f>
        <v xml:space="preserve">GASTO POR VACACIONES DEL PERSONAL </v>
      </c>
      <c r="C63" s="293" t="s">
        <v>315</v>
      </c>
      <c r="D63" s="266"/>
      <c r="E63" s="269"/>
      <c r="F63" s="269"/>
      <c r="G63" s="299"/>
    </row>
    <row r="64" spans="1:7" ht="15" customHeight="1" x14ac:dyDescent="0.25">
      <c r="A64" s="220"/>
      <c r="B64" s="270" t="str">
        <f>+'[3]balance 2023 los andes antes im'!B74</f>
        <v>PERDIDA VENTA VEHICULO</v>
      </c>
      <c r="C64" s="293" t="s">
        <v>315</v>
      </c>
      <c r="D64" s="266"/>
      <c r="E64" s="269"/>
      <c r="F64" s="269"/>
      <c r="G64" s="299"/>
    </row>
    <row r="65" spans="1:9" ht="15" customHeight="1" thickBot="1" x14ac:dyDescent="0.3">
      <c r="A65" s="220"/>
      <c r="B65" s="271" t="s">
        <v>343</v>
      </c>
      <c r="C65" s="301" t="s">
        <v>315</v>
      </c>
      <c r="D65" s="266"/>
      <c r="E65" s="269"/>
      <c r="F65" s="269"/>
      <c r="G65" s="299"/>
    </row>
    <row r="66" spans="1:9" ht="15.75" thickBot="1" x14ac:dyDescent="0.3">
      <c r="A66" s="220"/>
      <c r="B66" s="302" t="s">
        <v>344</v>
      </c>
      <c r="C66" s="303" t="s">
        <v>288</v>
      </c>
      <c r="D66" s="304">
        <f>SUM(D30:D65)</f>
        <v>39860923.266599998</v>
      </c>
      <c r="E66" s="303">
        <f>SUM(E30:E65)</f>
        <v>2761771.0867999997</v>
      </c>
      <c r="F66" s="305">
        <f>SUM(F30:F65)</f>
        <v>0</v>
      </c>
      <c r="G66" s="306">
        <f>SUM(G30:G65)</f>
        <v>37099152.179799996</v>
      </c>
      <c r="I66" s="307"/>
    </row>
    <row r="67" spans="1:9" ht="15.75" thickBot="1" x14ac:dyDescent="0.3">
      <c r="A67" s="220"/>
      <c r="B67" s="302" t="s">
        <v>276</v>
      </c>
      <c r="C67" s="303" t="s">
        <v>288</v>
      </c>
      <c r="D67" s="304">
        <f>+D29-D66</f>
        <v>-39860923.266599998</v>
      </c>
      <c r="E67" s="308"/>
      <c r="F67" s="308"/>
      <c r="G67" s="309"/>
      <c r="I67" s="307"/>
    </row>
    <row r="68" spans="1:9" ht="15.75" customHeight="1" thickBot="1" x14ac:dyDescent="0.3">
      <c r="A68" s="220"/>
      <c r="B68" s="310" t="s">
        <v>345</v>
      </c>
      <c r="C68" s="311" t="s">
        <v>290</v>
      </c>
      <c r="D68" s="288"/>
      <c r="E68" s="308"/>
      <c r="F68" s="308"/>
      <c r="G68" s="306">
        <f>+G47+G48</f>
        <v>0</v>
      </c>
      <c r="I68" s="312"/>
    </row>
    <row r="69" spans="1:9" ht="15.75" customHeight="1" thickBot="1" x14ac:dyDescent="0.3">
      <c r="A69" s="220"/>
      <c r="B69" s="313" t="s">
        <v>346</v>
      </c>
      <c r="C69" s="314" t="s">
        <v>288</v>
      </c>
      <c r="D69" s="315"/>
      <c r="E69" s="316"/>
      <c r="F69" s="316"/>
      <c r="G69" s="306">
        <f>+G29-G66</f>
        <v>-37099152.179799996</v>
      </c>
      <c r="I69" s="307"/>
    </row>
    <row r="70" spans="1:9" ht="15.75" customHeight="1" thickBot="1" x14ac:dyDescent="0.3">
      <c r="A70" s="220"/>
      <c r="B70" s="313" t="s">
        <v>347</v>
      </c>
      <c r="C70" s="317"/>
      <c r="D70" s="318"/>
      <c r="E70" s="319"/>
      <c r="F70" s="319"/>
      <c r="G70" s="306"/>
    </row>
    <row r="71" spans="1:9" ht="15.75" thickBot="1" x14ac:dyDescent="0.3">
      <c r="A71" s="220"/>
      <c r="B71" s="282" t="s">
        <v>348</v>
      </c>
      <c r="C71" s="320" t="s">
        <v>315</v>
      </c>
      <c r="D71" s="321"/>
      <c r="E71" s="322"/>
      <c r="F71" s="322"/>
      <c r="G71" s="306"/>
    </row>
    <row r="72" spans="1:9" ht="15.75" customHeight="1" thickBot="1" x14ac:dyDescent="0.3">
      <c r="A72" s="220"/>
      <c r="B72" s="258" t="s">
        <v>349</v>
      </c>
      <c r="C72" s="301" t="s">
        <v>315</v>
      </c>
      <c r="D72" s="323"/>
      <c r="E72" s="324"/>
      <c r="F72" s="324"/>
      <c r="G72" s="306"/>
    </row>
    <row r="73" spans="1:9" ht="15.75" customHeight="1" thickBot="1" x14ac:dyDescent="0.3">
      <c r="A73" s="220"/>
      <c r="B73" s="325" t="s">
        <v>350</v>
      </c>
      <c r="C73" s="287" t="s">
        <v>288</v>
      </c>
      <c r="D73" s="288"/>
      <c r="E73" s="308"/>
      <c r="F73" s="308"/>
      <c r="G73" s="306">
        <f>+G69-G71-G72</f>
        <v>-37099152.179799996</v>
      </c>
    </row>
    <row r="74" spans="1:9" ht="15.75" customHeight="1" thickBot="1" x14ac:dyDescent="0.3">
      <c r="A74" s="326"/>
      <c r="B74" s="327"/>
      <c r="C74" s="328"/>
      <c r="D74" s="329"/>
      <c r="E74" s="330"/>
      <c r="F74" s="330"/>
      <c r="G74" s="306"/>
    </row>
    <row r="75" spans="1:9" ht="15.75" thickBot="1" x14ac:dyDescent="0.3">
      <c r="B75" s="331" t="s">
        <v>351</v>
      </c>
      <c r="C75" s="332"/>
      <c r="D75" s="333"/>
      <c r="E75" s="334"/>
      <c r="F75" s="334"/>
      <c r="G75" s="306"/>
    </row>
    <row r="76" spans="1:9" ht="15.75" thickBot="1" x14ac:dyDescent="0.3">
      <c r="B76" s="292" t="s">
        <v>352</v>
      </c>
      <c r="C76" s="237" t="s">
        <v>290</v>
      </c>
      <c r="D76" s="335"/>
      <c r="E76" s="336"/>
      <c r="F76" s="336"/>
      <c r="G76" s="306"/>
    </row>
    <row r="77" spans="1:9" ht="15.75" thickBot="1" x14ac:dyDescent="0.3">
      <c r="B77" s="258" t="s">
        <v>353</v>
      </c>
      <c r="C77" s="259" t="s">
        <v>290</v>
      </c>
      <c r="D77" s="337"/>
      <c r="E77" s="338"/>
      <c r="F77" s="338"/>
      <c r="G77" s="306"/>
    </row>
    <row r="78" spans="1:9" ht="15.75" thickBot="1" x14ac:dyDescent="0.3">
      <c r="B78" s="325" t="s">
        <v>354</v>
      </c>
      <c r="C78" s="287" t="s">
        <v>288</v>
      </c>
      <c r="D78" s="288"/>
      <c r="E78" s="308"/>
      <c r="F78" s="308"/>
      <c r="G78" s="306"/>
    </row>
    <row r="79" spans="1:9" ht="15.75" thickBot="1" x14ac:dyDescent="0.3">
      <c r="B79" s="215"/>
      <c r="C79" s="339"/>
      <c r="D79" s="288"/>
      <c r="E79" s="308"/>
      <c r="F79" s="308"/>
      <c r="G79" s="340"/>
    </row>
    <row r="80" spans="1:9" ht="15.75" thickBot="1" x14ac:dyDescent="0.3">
      <c r="B80" s="331" t="s">
        <v>355</v>
      </c>
      <c r="C80" s="332"/>
      <c r="D80" s="288"/>
      <c r="E80" s="308"/>
      <c r="F80" s="308"/>
      <c r="G80" s="341"/>
    </row>
    <row r="81" spans="2:7" ht="15.75" thickBot="1" x14ac:dyDescent="0.3">
      <c r="B81" s="296" t="s">
        <v>330</v>
      </c>
      <c r="C81" s="237" t="s">
        <v>290</v>
      </c>
      <c r="D81" s="288"/>
      <c r="E81" s="308"/>
      <c r="F81" s="308"/>
      <c r="G81" s="342">
        <f>+G45</f>
        <v>0</v>
      </c>
    </row>
    <row r="82" spans="2:7" ht="15.75" thickBot="1" x14ac:dyDescent="0.3">
      <c r="B82" s="325" t="s">
        <v>356</v>
      </c>
      <c r="C82" s="287" t="s">
        <v>288</v>
      </c>
      <c r="D82" s="288"/>
      <c r="E82" s="308"/>
      <c r="F82" s="308"/>
      <c r="G82" s="343">
        <f t="shared" ref="G82" si="4">+G81</f>
        <v>0</v>
      </c>
    </row>
    <row r="84" spans="2:7" x14ac:dyDescent="0.25">
      <c r="D84" s="344"/>
    </row>
    <row r="85" spans="2:7" x14ac:dyDescent="0.25">
      <c r="D85" s="344"/>
      <c r="G85" s="345"/>
    </row>
    <row r="87" spans="2:7" x14ac:dyDescent="0.25">
      <c r="D87" s="344"/>
      <c r="G87" s="345"/>
    </row>
    <row r="88" spans="2:7" x14ac:dyDescent="0.25">
      <c r="D88" s="346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46"/>
  <sheetViews>
    <sheetView showGridLines="0" tabSelected="1" topLeftCell="C18" zoomScaleNormal="100" workbookViewId="0">
      <selection activeCell="T23" sqref="T23"/>
    </sheetView>
  </sheetViews>
  <sheetFormatPr baseColWidth="10" defaultColWidth="11.5703125" defaultRowHeight="15" x14ac:dyDescent="0.25"/>
  <cols>
    <col min="1" max="1" width="1.85546875" style="347" customWidth="1"/>
    <col min="2" max="2" width="32" style="347" customWidth="1"/>
    <col min="3" max="3" width="8" style="347" customWidth="1"/>
    <col min="4" max="4" width="8.42578125" style="347" customWidth="1"/>
    <col min="5" max="7" width="4.5703125" style="347" customWidth="1"/>
    <col min="8" max="8" width="7.140625" style="347" customWidth="1"/>
    <col min="9" max="9" width="7.42578125" style="347" customWidth="1"/>
    <col min="10" max="10" width="7.85546875" style="347" customWidth="1"/>
    <col min="11" max="11" width="8.42578125" style="347" customWidth="1"/>
    <col min="12" max="12" width="4.5703125" style="347" customWidth="1"/>
    <col min="13" max="13" width="7.85546875" style="347" customWidth="1"/>
    <col min="14" max="14" width="7.42578125" style="347" customWidth="1"/>
    <col min="15" max="15" width="8.140625" style="347" customWidth="1"/>
    <col min="16" max="16" width="7.85546875" style="347" customWidth="1"/>
    <col min="17" max="17" width="4.5703125" style="347" customWidth="1"/>
    <col min="18" max="18" width="5.5703125" style="347" customWidth="1"/>
    <col min="19" max="19" width="9.140625" style="348" customWidth="1"/>
    <col min="20" max="20" width="19.85546875" style="347" customWidth="1"/>
    <col min="21" max="21" width="8.42578125" style="347" customWidth="1"/>
    <col min="22" max="22" width="9" style="347" customWidth="1"/>
    <col min="23" max="25" width="4.5703125" style="347" customWidth="1"/>
    <col min="26" max="26" width="7.140625" style="347" customWidth="1"/>
    <col min="27" max="27" width="8.5703125" style="347" customWidth="1"/>
    <col min="28" max="31" width="4.5703125" style="347" customWidth="1"/>
    <col min="32" max="33" width="11.5703125" style="347"/>
    <col min="34" max="34" width="7.140625" style="347" customWidth="1"/>
    <col min="35" max="35" width="7.42578125" style="347" customWidth="1"/>
    <col min="36" max="36" width="6.5703125" style="347" customWidth="1"/>
    <col min="37" max="37" width="8.140625" style="347" customWidth="1"/>
    <col min="38" max="38" width="9.140625" style="347" customWidth="1"/>
    <col min="39" max="39" width="11.5703125" style="347"/>
    <col min="40" max="40" width="4.42578125" style="347" customWidth="1"/>
    <col min="41" max="41" width="4.85546875" style="347" customWidth="1"/>
    <col min="42" max="42" width="3.5703125" style="347" customWidth="1"/>
    <col min="43" max="43" width="4.42578125" style="347" customWidth="1"/>
    <col min="44" max="256" width="11.5703125" style="347"/>
    <col min="257" max="257" width="1.85546875" style="347" customWidth="1"/>
    <col min="258" max="258" width="32" style="347" customWidth="1"/>
    <col min="259" max="259" width="8" style="347" customWidth="1"/>
    <col min="260" max="260" width="8.42578125" style="347" customWidth="1"/>
    <col min="261" max="263" width="4.5703125" style="347" customWidth="1"/>
    <col min="264" max="264" width="7.140625" style="347" customWidth="1"/>
    <col min="265" max="265" width="7.42578125" style="347" customWidth="1"/>
    <col min="266" max="266" width="7.85546875" style="347" customWidth="1"/>
    <col min="267" max="267" width="8.42578125" style="347" customWidth="1"/>
    <col min="268" max="268" width="4.5703125" style="347" customWidth="1"/>
    <col min="269" max="269" width="7.85546875" style="347" customWidth="1"/>
    <col min="270" max="270" width="7.42578125" style="347" customWidth="1"/>
    <col min="271" max="271" width="8.140625" style="347" customWidth="1"/>
    <col min="272" max="272" width="7.85546875" style="347" customWidth="1"/>
    <col min="273" max="273" width="4.5703125" style="347" customWidth="1"/>
    <col min="274" max="274" width="5.5703125" style="347" customWidth="1"/>
    <col min="275" max="275" width="9.140625" style="347" customWidth="1"/>
    <col min="276" max="276" width="7" style="347" customWidth="1"/>
    <col min="277" max="277" width="8.42578125" style="347" customWidth="1"/>
    <col min="278" max="278" width="9" style="347" customWidth="1"/>
    <col min="279" max="281" width="4.5703125" style="347" customWidth="1"/>
    <col min="282" max="282" width="7.140625" style="347" customWidth="1"/>
    <col min="283" max="283" width="8.5703125" style="347" customWidth="1"/>
    <col min="284" max="287" width="4.5703125" style="347" customWidth="1"/>
    <col min="288" max="289" width="11.5703125" style="347"/>
    <col min="290" max="290" width="7.140625" style="347" customWidth="1"/>
    <col min="291" max="291" width="7.42578125" style="347" customWidth="1"/>
    <col min="292" max="292" width="6.5703125" style="347" customWidth="1"/>
    <col min="293" max="293" width="8.140625" style="347" customWidth="1"/>
    <col min="294" max="294" width="9.140625" style="347" customWidth="1"/>
    <col min="295" max="295" width="11.5703125" style="347"/>
    <col min="296" max="296" width="4.42578125" style="347" customWidth="1"/>
    <col min="297" max="297" width="4.85546875" style="347" customWidth="1"/>
    <col min="298" max="298" width="3.5703125" style="347" customWidth="1"/>
    <col min="299" max="299" width="4.42578125" style="347" customWidth="1"/>
    <col min="300" max="512" width="11.5703125" style="347"/>
    <col min="513" max="513" width="1.85546875" style="347" customWidth="1"/>
    <col min="514" max="514" width="32" style="347" customWidth="1"/>
    <col min="515" max="515" width="8" style="347" customWidth="1"/>
    <col min="516" max="516" width="8.42578125" style="347" customWidth="1"/>
    <col min="517" max="519" width="4.5703125" style="347" customWidth="1"/>
    <col min="520" max="520" width="7.140625" style="347" customWidth="1"/>
    <col min="521" max="521" width="7.42578125" style="347" customWidth="1"/>
    <col min="522" max="522" width="7.85546875" style="347" customWidth="1"/>
    <col min="523" max="523" width="8.42578125" style="347" customWidth="1"/>
    <col min="524" max="524" width="4.5703125" style="347" customWidth="1"/>
    <col min="525" max="525" width="7.85546875" style="347" customWidth="1"/>
    <col min="526" max="526" width="7.42578125" style="347" customWidth="1"/>
    <col min="527" max="527" width="8.140625" style="347" customWidth="1"/>
    <col min="528" max="528" width="7.85546875" style="347" customWidth="1"/>
    <col min="529" max="529" width="4.5703125" style="347" customWidth="1"/>
    <col min="530" max="530" width="5.5703125" style="347" customWidth="1"/>
    <col min="531" max="531" width="9.140625" style="347" customWidth="1"/>
    <col min="532" max="532" width="7" style="347" customWidth="1"/>
    <col min="533" max="533" width="8.42578125" style="347" customWidth="1"/>
    <col min="534" max="534" width="9" style="347" customWidth="1"/>
    <col min="535" max="537" width="4.5703125" style="347" customWidth="1"/>
    <col min="538" max="538" width="7.140625" style="347" customWidth="1"/>
    <col min="539" max="539" width="8.5703125" style="347" customWidth="1"/>
    <col min="540" max="543" width="4.5703125" style="347" customWidth="1"/>
    <col min="544" max="545" width="11.5703125" style="347"/>
    <col min="546" max="546" width="7.140625" style="347" customWidth="1"/>
    <col min="547" max="547" width="7.42578125" style="347" customWidth="1"/>
    <col min="548" max="548" width="6.5703125" style="347" customWidth="1"/>
    <col min="549" max="549" width="8.140625" style="347" customWidth="1"/>
    <col min="550" max="550" width="9.140625" style="347" customWidth="1"/>
    <col min="551" max="551" width="11.5703125" style="347"/>
    <col min="552" max="552" width="4.42578125" style="347" customWidth="1"/>
    <col min="553" max="553" width="4.85546875" style="347" customWidth="1"/>
    <col min="554" max="554" width="3.5703125" style="347" customWidth="1"/>
    <col min="555" max="555" width="4.42578125" style="347" customWidth="1"/>
    <col min="556" max="768" width="11.5703125" style="347"/>
    <col min="769" max="769" width="1.85546875" style="347" customWidth="1"/>
    <col min="770" max="770" width="32" style="347" customWidth="1"/>
    <col min="771" max="771" width="8" style="347" customWidth="1"/>
    <col min="772" max="772" width="8.42578125" style="347" customWidth="1"/>
    <col min="773" max="775" width="4.5703125" style="347" customWidth="1"/>
    <col min="776" max="776" width="7.140625" style="347" customWidth="1"/>
    <col min="777" max="777" width="7.42578125" style="347" customWidth="1"/>
    <col min="778" max="778" width="7.85546875" style="347" customWidth="1"/>
    <col min="779" max="779" width="8.42578125" style="347" customWidth="1"/>
    <col min="780" max="780" width="4.5703125" style="347" customWidth="1"/>
    <col min="781" max="781" width="7.85546875" style="347" customWidth="1"/>
    <col min="782" max="782" width="7.42578125" style="347" customWidth="1"/>
    <col min="783" max="783" width="8.140625" style="347" customWidth="1"/>
    <col min="784" max="784" width="7.85546875" style="347" customWidth="1"/>
    <col min="785" max="785" width="4.5703125" style="347" customWidth="1"/>
    <col min="786" max="786" width="5.5703125" style="347" customWidth="1"/>
    <col min="787" max="787" width="9.140625" style="347" customWidth="1"/>
    <col min="788" max="788" width="7" style="347" customWidth="1"/>
    <col min="789" max="789" width="8.42578125" style="347" customWidth="1"/>
    <col min="790" max="790" width="9" style="347" customWidth="1"/>
    <col min="791" max="793" width="4.5703125" style="347" customWidth="1"/>
    <col min="794" max="794" width="7.140625" style="347" customWidth="1"/>
    <col min="795" max="795" width="8.5703125" style="347" customWidth="1"/>
    <col min="796" max="799" width="4.5703125" style="347" customWidth="1"/>
    <col min="800" max="801" width="11.5703125" style="347"/>
    <col min="802" max="802" width="7.140625" style="347" customWidth="1"/>
    <col min="803" max="803" width="7.42578125" style="347" customWidth="1"/>
    <col min="804" max="804" width="6.5703125" style="347" customWidth="1"/>
    <col min="805" max="805" width="8.140625" style="347" customWidth="1"/>
    <col min="806" max="806" width="9.140625" style="347" customWidth="1"/>
    <col min="807" max="807" width="11.5703125" style="347"/>
    <col min="808" max="808" width="4.42578125" style="347" customWidth="1"/>
    <col min="809" max="809" width="4.85546875" style="347" customWidth="1"/>
    <col min="810" max="810" width="3.5703125" style="347" customWidth="1"/>
    <col min="811" max="811" width="4.42578125" style="347" customWidth="1"/>
    <col min="812" max="1024" width="11.5703125" style="347"/>
    <col min="1025" max="1025" width="1.85546875" style="347" customWidth="1"/>
    <col min="1026" max="1026" width="32" style="347" customWidth="1"/>
    <col min="1027" max="1027" width="8" style="347" customWidth="1"/>
    <col min="1028" max="1028" width="8.42578125" style="347" customWidth="1"/>
    <col min="1029" max="1031" width="4.5703125" style="347" customWidth="1"/>
    <col min="1032" max="1032" width="7.140625" style="347" customWidth="1"/>
    <col min="1033" max="1033" width="7.42578125" style="347" customWidth="1"/>
    <col min="1034" max="1034" width="7.85546875" style="347" customWidth="1"/>
    <col min="1035" max="1035" width="8.42578125" style="347" customWidth="1"/>
    <col min="1036" max="1036" width="4.5703125" style="347" customWidth="1"/>
    <col min="1037" max="1037" width="7.85546875" style="347" customWidth="1"/>
    <col min="1038" max="1038" width="7.42578125" style="347" customWidth="1"/>
    <col min="1039" max="1039" width="8.140625" style="347" customWidth="1"/>
    <col min="1040" max="1040" width="7.85546875" style="347" customWidth="1"/>
    <col min="1041" max="1041" width="4.5703125" style="347" customWidth="1"/>
    <col min="1042" max="1042" width="5.5703125" style="347" customWidth="1"/>
    <col min="1043" max="1043" width="9.140625" style="347" customWidth="1"/>
    <col min="1044" max="1044" width="7" style="347" customWidth="1"/>
    <col min="1045" max="1045" width="8.42578125" style="347" customWidth="1"/>
    <col min="1046" max="1046" width="9" style="347" customWidth="1"/>
    <col min="1047" max="1049" width="4.5703125" style="347" customWidth="1"/>
    <col min="1050" max="1050" width="7.140625" style="347" customWidth="1"/>
    <col min="1051" max="1051" width="8.5703125" style="347" customWidth="1"/>
    <col min="1052" max="1055" width="4.5703125" style="347" customWidth="1"/>
    <col min="1056" max="1057" width="11.5703125" style="347"/>
    <col min="1058" max="1058" width="7.140625" style="347" customWidth="1"/>
    <col min="1059" max="1059" width="7.42578125" style="347" customWidth="1"/>
    <col min="1060" max="1060" width="6.5703125" style="347" customWidth="1"/>
    <col min="1061" max="1061" width="8.140625" style="347" customWidth="1"/>
    <col min="1062" max="1062" width="9.140625" style="347" customWidth="1"/>
    <col min="1063" max="1063" width="11.5703125" style="347"/>
    <col min="1064" max="1064" width="4.42578125" style="347" customWidth="1"/>
    <col min="1065" max="1065" width="4.85546875" style="347" customWidth="1"/>
    <col min="1066" max="1066" width="3.5703125" style="347" customWidth="1"/>
    <col min="1067" max="1067" width="4.42578125" style="347" customWidth="1"/>
    <col min="1068" max="1280" width="11.5703125" style="347"/>
    <col min="1281" max="1281" width="1.85546875" style="347" customWidth="1"/>
    <col min="1282" max="1282" width="32" style="347" customWidth="1"/>
    <col min="1283" max="1283" width="8" style="347" customWidth="1"/>
    <col min="1284" max="1284" width="8.42578125" style="347" customWidth="1"/>
    <col min="1285" max="1287" width="4.5703125" style="347" customWidth="1"/>
    <col min="1288" max="1288" width="7.140625" style="347" customWidth="1"/>
    <col min="1289" max="1289" width="7.42578125" style="347" customWidth="1"/>
    <col min="1290" max="1290" width="7.85546875" style="347" customWidth="1"/>
    <col min="1291" max="1291" width="8.42578125" style="347" customWidth="1"/>
    <col min="1292" max="1292" width="4.5703125" style="347" customWidth="1"/>
    <col min="1293" max="1293" width="7.85546875" style="347" customWidth="1"/>
    <col min="1294" max="1294" width="7.42578125" style="347" customWidth="1"/>
    <col min="1295" max="1295" width="8.140625" style="347" customWidth="1"/>
    <col min="1296" max="1296" width="7.85546875" style="347" customWidth="1"/>
    <col min="1297" max="1297" width="4.5703125" style="347" customWidth="1"/>
    <col min="1298" max="1298" width="5.5703125" style="347" customWidth="1"/>
    <col min="1299" max="1299" width="9.140625" style="347" customWidth="1"/>
    <col min="1300" max="1300" width="7" style="347" customWidth="1"/>
    <col min="1301" max="1301" width="8.42578125" style="347" customWidth="1"/>
    <col min="1302" max="1302" width="9" style="347" customWidth="1"/>
    <col min="1303" max="1305" width="4.5703125" style="347" customWidth="1"/>
    <col min="1306" max="1306" width="7.140625" style="347" customWidth="1"/>
    <col min="1307" max="1307" width="8.5703125" style="347" customWidth="1"/>
    <col min="1308" max="1311" width="4.5703125" style="347" customWidth="1"/>
    <col min="1312" max="1313" width="11.5703125" style="347"/>
    <col min="1314" max="1314" width="7.140625" style="347" customWidth="1"/>
    <col min="1315" max="1315" width="7.42578125" style="347" customWidth="1"/>
    <col min="1316" max="1316" width="6.5703125" style="347" customWidth="1"/>
    <col min="1317" max="1317" width="8.140625" style="347" customWidth="1"/>
    <col min="1318" max="1318" width="9.140625" style="347" customWidth="1"/>
    <col min="1319" max="1319" width="11.5703125" style="347"/>
    <col min="1320" max="1320" width="4.42578125" style="347" customWidth="1"/>
    <col min="1321" max="1321" width="4.85546875" style="347" customWidth="1"/>
    <col min="1322" max="1322" width="3.5703125" style="347" customWidth="1"/>
    <col min="1323" max="1323" width="4.42578125" style="347" customWidth="1"/>
    <col min="1324" max="1536" width="11.5703125" style="347"/>
    <col min="1537" max="1537" width="1.85546875" style="347" customWidth="1"/>
    <col min="1538" max="1538" width="32" style="347" customWidth="1"/>
    <col min="1539" max="1539" width="8" style="347" customWidth="1"/>
    <col min="1540" max="1540" width="8.42578125" style="347" customWidth="1"/>
    <col min="1541" max="1543" width="4.5703125" style="347" customWidth="1"/>
    <col min="1544" max="1544" width="7.140625" style="347" customWidth="1"/>
    <col min="1545" max="1545" width="7.42578125" style="347" customWidth="1"/>
    <col min="1546" max="1546" width="7.85546875" style="347" customWidth="1"/>
    <col min="1547" max="1547" width="8.42578125" style="347" customWidth="1"/>
    <col min="1548" max="1548" width="4.5703125" style="347" customWidth="1"/>
    <col min="1549" max="1549" width="7.85546875" style="347" customWidth="1"/>
    <col min="1550" max="1550" width="7.42578125" style="347" customWidth="1"/>
    <col min="1551" max="1551" width="8.140625" style="347" customWidth="1"/>
    <col min="1552" max="1552" width="7.85546875" style="347" customWidth="1"/>
    <col min="1553" max="1553" width="4.5703125" style="347" customWidth="1"/>
    <col min="1554" max="1554" width="5.5703125" style="347" customWidth="1"/>
    <col min="1555" max="1555" width="9.140625" style="347" customWidth="1"/>
    <col min="1556" max="1556" width="7" style="347" customWidth="1"/>
    <col min="1557" max="1557" width="8.42578125" style="347" customWidth="1"/>
    <col min="1558" max="1558" width="9" style="347" customWidth="1"/>
    <col min="1559" max="1561" width="4.5703125" style="347" customWidth="1"/>
    <col min="1562" max="1562" width="7.140625" style="347" customWidth="1"/>
    <col min="1563" max="1563" width="8.5703125" style="347" customWidth="1"/>
    <col min="1564" max="1567" width="4.5703125" style="347" customWidth="1"/>
    <col min="1568" max="1569" width="11.5703125" style="347"/>
    <col min="1570" max="1570" width="7.140625" style="347" customWidth="1"/>
    <col min="1571" max="1571" width="7.42578125" style="347" customWidth="1"/>
    <col min="1572" max="1572" width="6.5703125" style="347" customWidth="1"/>
    <col min="1573" max="1573" width="8.140625" style="347" customWidth="1"/>
    <col min="1574" max="1574" width="9.140625" style="347" customWidth="1"/>
    <col min="1575" max="1575" width="11.5703125" style="347"/>
    <col min="1576" max="1576" width="4.42578125" style="347" customWidth="1"/>
    <col min="1577" max="1577" width="4.85546875" style="347" customWidth="1"/>
    <col min="1578" max="1578" width="3.5703125" style="347" customWidth="1"/>
    <col min="1579" max="1579" width="4.42578125" style="347" customWidth="1"/>
    <col min="1580" max="1792" width="11.5703125" style="347"/>
    <col min="1793" max="1793" width="1.85546875" style="347" customWidth="1"/>
    <col min="1794" max="1794" width="32" style="347" customWidth="1"/>
    <col min="1795" max="1795" width="8" style="347" customWidth="1"/>
    <col min="1796" max="1796" width="8.42578125" style="347" customWidth="1"/>
    <col min="1797" max="1799" width="4.5703125" style="347" customWidth="1"/>
    <col min="1800" max="1800" width="7.140625" style="347" customWidth="1"/>
    <col min="1801" max="1801" width="7.42578125" style="347" customWidth="1"/>
    <col min="1802" max="1802" width="7.85546875" style="347" customWidth="1"/>
    <col min="1803" max="1803" width="8.42578125" style="347" customWidth="1"/>
    <col min="1804" max="1804" width="4.5703125" style="347" customWidth="1"/>
    <col min="1805" max="1805" width="7.85546875" style="347" customWidth="1"/>
    <col min="1806" max="1806" width="7.42578125" style="347" customWidth="1"/>
    <col min="1807" max="1807" width="8.140625" style="347" customWidth="1"/>
    <col min="1808" max="1808" width="7.85546875" style="347" customWidth="1"/>
    <col min="1809" max="1809" width="4.5703125" style="347" customWidth="1"/>
    <col min="1810" max="1810" width="5.5703125" style="347" customWidth="1"/>
    <col min="1811" max="1811" width="9.140625" style="347" customWidth="1"/>
    <col min="1812" max="1812" width="7" style="347" customWidth="1"/>
    <col min="1813" max="1813" width="8.42578125" style="347" customWidth="1"/>
    <col min="1814" max="1814" width="9" style="347" customWidth="1"/>
    <col min="1815" max="1817" width="4.5703125" style="347" customWidth="1"/>
    <col min="1818" max="1818" width="7.140625" style="347" customWidth="1"/>
    <col min="1819" max="1819" width="8.5703125" style="347" customWidth="1"/>
    <col min="1820" max="1823" width="4.5703125" style="347" customWidth="1"/>
    <col min="1824" max="1825" width="11.5703125" style="347"/>
    <col min="1826" max="1826" width="7.140625" style="347" customWidth="1"/>
    <col min="1827" max="1827" width="7.42578125" style="347" customWidth="1"/>
    <col min="1828" max="1828" width="6.5703125" style="347" customWidth="1"/>
    <col min="1829" max="1829" width="8.140625" style="347" customWidth="1"/>
    <col min="1830" max="1830" width="9.140625" style="347" customWidth="1"/>
    <col min="1831" max="1831" width="11.5703125" style="347"/>
    <col min="1832" max="1832" width="4.42578125" style="347" customWidth="1"/>
    <col min="1833" max="1833" width="4.85546875" style="347" customWidth="1"/>
    <col min="1834" max="1834" width="3.5703125" style="347" customWidth="1"/>
    <col min="1835" max="1835" width="4.42578125" style="347" customWidth="1"/>
    <col min="1836" max="2048" width="11.5703125" style="347"/>
    <col min="2049" max="2049" width="1.85546875" style="347" customWidth="1"/>
    <col min="2050" max="2050" width="32" style="347" customWidth="1"/>
    <col min="2051" max="2051" width="8" style="347" customWidth="1"/>
    <col min="2052" max="2052" width="8.42578125" style="347" customWidth="1"/>
    <col min="2053" max="2055" width="4.5703125" style="347" customWidth="1"/>
    <col min="2056" max="2056" width="7.140625" style="347" customWidth="1"/>
    <col min="2057" max="2057" width="7.42578125" style="347" customWidth="1"/>
    <col min="2058" max="2058" width="7.85546875" style="347" customWidth="1"/>
    <col min="2059" max="2059" width="8.42578125" style="347" customWidth="1"/>
    <col min="2060" max="2060" width="4.5703125" style="347" customWidth="1"/>
    <col min="2061" max="2061" width="7.85546875" style="347" customWidth="1"/>
    <col min="2062" max="2062" width="7.42578125" style="347" customWidth="1"/>
    <col min="2063" max="2063" width="8.140625" style="347" customWidth="1"/>
    <col min="2064" max="2064" width="7.85546875" style="347" customWidth="1"/>
    <col min="2065" max="2065" width="4.5703125" style="347" customWidth="1"/>
    <col min="2066" max="2066" width="5.5703125" style="347" customWidth="1"/>
    <col min="2067" max="2067" width="9.140625" style="347" customWidth="1"/>
    <col min="2068" max="2068" width="7" style="347" customWidth="1"/>
    <col min="2069" max="2069" width="8.42578125" style="347" customWidth="1"/>
    <col min="2070" max="2070" width="9" style="347" customWidth="1"/>
    <col min="2071" max="2073" width="4.5703125" style="347" customWidth="1"/>
    <col min="2074" max="2074" width="7.140625" style="347" customWidth="1"/>
    <col min="2075" max="2075" width="8.5703125" style="347" customWidth="1"/>
    <col min="2076" max="2079" width="4.5703125" style="347" customWidth="1"/>
    <col min="2080" max="2081" width="11.5703125" style="347"/>
    <col min="2082" max="2082" width="7.140625" style="347" customWidth="1"/>
    <col min="2083" max="2083" width="7.42578125" style="347" customWidth="1"/>
    <col min="2084" max="2084" width="6.5703125" style="347" customWidth="1"/>
    <col min="2085" max="2085" width="8.140625" style="347" customWidth="1"/>
    <col min="2086" max="2086" width="9.140625" style="347" customWidth="1"/>
    <col min="2087" max="2087" width="11.5703125" style="347"/>
    <col min="2088" max="2088" width="4.42578125" style="347" customWidth="1"/>
    <col min="2089" max="2089" width="4.85546875" style="347" customWidth="1"/>
    <col min="2090" max="2090" width="3.5703125" style="347" customWidth="1"/>
    <col min="2091" max="2091" width="4.42578125" style="347" customWidth="1"/>
    <col min="2092" max="2304" width="11.5703125" style="347"/>
    <col min="2305" max="2305" width="1.85546875" style="347" customWidth="1"/>
    <col min="2306" max="2306" width="32" style="347" customWidth="1"/>
    <col min="2307" max="2307" width="8" style="347" customWidth="1"/>
    <col min="2308" max="2308" width="8.42578125" style="347" customWidth="1"/>
    <col min="2309" max="2311" width="4.5703125" style="347" customWidth="1"/>
    <col min="2312" max="2312" width="7.140625" style="347" customWidth="1"/>
    <col min="2313" max="2313" width="7.42578125" style="347" customWidth="1"/>
    <col min="2314" max="2314" width="7.85546875" style="347" customWidth="1"/>
    <col min="2315" max="2315" width="8.42578125" style="347" customWidth="1"/>
    <col min="2316" max="2316" width="4.5703125" style="347" customWidth="1"/>
    <col min="2317" max="2317" width="7.85546875" style="347" customWidth="1"/>
    <col min="2318" max="2318" width="7.42578125" style="347" customWidth="1"/>
    <col min="2319" max="2319" width="8.140625" style="347" customWidth="1"/>
    <col min="2320" max="2320" width="7.85546875" style="347" customWidth="1"/>
    <col min="2321" max="2321" width="4.5703125" style="347" customWidth="1"/>
    <col min="2322" max="2322" width="5.5703125" style="347" customWidth="1"/>
    <col min="2323" max="2323" width="9.140625" style="347" customWidth="1"/>
    <col min="2324" max="2324" width="7" style="347" customWidth="1"/>
    <col min="2325" max="2325" width="8.42578125" style="347" customWidth="1"/>
    <col min="2326" max="2326" width="9" style="347" customWidth="1"/>
    <col min="2327" max="2329" width="4.5703125" style="347" customWidth="1"/>
    <col min="2330" max="2330" width="7.140625" style="347" customWidth="1"/>
    <col min="2331" max="2331" width="8.5703125" style="347" customWidth="1"/>
    <col min="2332" max="2335" width="4.5703125" style="347" customWidth="1"/>
    <col min="2336" max="2337" width="11.5703125" style="347"/>
    <col min="2338" max="2338" width="7.140625" style="347" customWidth="1"/>
    <col min="2339" max="2339" width="7.42578125" style="347" customWidth="1"/>
    <col min="2340" max="2340" width="6.5703125" style="347" customWidth="1"/>
    <col min="2341" max="2341" width="8.140625" style="347" customWidth="1"/>
    <col min="2342" max="2342" width="9.140625" style="347" customWidth="1"/>
    <col min="2343" max="2343" width="11.5703125" style="347"/>
    <col min="2344" max="2344" width="4.42578125" style="347" customWidth="1"/>
    <col min="2345" max="2345" width="4.85546875" style="347" customWidth="1"/>
    <col min="2346" max="2346" width="3.5703125" style="347" customWidth="1"/>
    <col min="2347" max="2347" width="4.42578125" style="347" customWidth="1"/>
    <col min="2348" max="2560" width="11.5703125" style="347"/>
    <col min="2561" max="2561" width="1.85546875" style="347" customWidth="1"/>
    <col min="2562" max="2562" width="32" style="347" customWidth="1"/>
    <col min="2563" max="2563" width="8" style="347" customWidth="1"/>
    <col min="2564" max="2564" width="8.42578125" style="347" customWidth="1"/>
    <col min="2565" max="2567" width="4.5703125" style="347" customWidth="1"/>
    <col min="2568" max="2568" width="7.140625" style="347" customWidth="1"/>
    <col min="2569" max="2569" width="7.42578125" style="347" customWidth="1"/>
    <col min="2570" max="2570" width="7.85546875" style="347" customWidth="1"/>
    <col min="2571" max="2571" width="8.42578125" style="347" customWidth="1"/>
    <col min="2572" max="2572" width="4.5703125" style="347" customWidth="1"/>
    <col min="2573" max="2573" width="7.85546875" style="347" customWidth="1"/>
    <col min="2574" max="2574" width="7.42578125" style="347" customWidth="1"/>
    <col min="2575" max="2575" width="8.140625" style="347" customWidth="1"/>
    <col min="2576" max="2576" width="7.85546875" style="347" customWidth="1"/>
    <col min="2577" max="2577" width="4.5703125" style="347" customWidth="1"/>
    <col min="2578" max="2578" width="5.5703125" style="347" customWidth="1"/>
    <col min="2579" max="2579" width="9.140625" style="347" customWidth="1"/>
    <col min="2580" max="2580" width="7" style="347" customWidth="1"/>
    <col min="2581" max="2581" width="8.42578125" style="347" customWidth="1"/>
    <col min="2582" max="2582" width="9" style="347" customWidth="1"/>
    <col min="2583" max="2585" width="4.5703125" style="347" customWidth="1"/>
    <col min="2586" max="2586" width="7.140625" style="347" customWidth="1"/>
    <col min="2587" max="2587" width="8.5703125" style="347" customWidth="1"/>
    <col min="2588" max="2591" width="4.5703125" style="347" customWidth="1"/>
    <col min="2592" max="2593" width="11.5703125" style="347"/>
    <col min="2594" max="2594" width="7.140625" style="347" customWidth="1"/>
    <col min="2595" max="2595" width="7.42578125" style="347" customWidth="1"/>
    <col min="2596" max="2596" width="6.5703125" style="347" customWidth="1"/>
    <col min="2597" max="2597" width="8.140625" style="347" customWidth="1"/>
    <col min="2598" max="2598" width="9.140625" style="347" customWidth="1"/>
    <col min="2599" max="2599" width="11.5703125" style="347"/>
    <col min="2600" max="2600" width="4.42578125" style="347" customWidth="1"/>
    <col min="2601" max="2601" width="4.85546875" style="347" customWidth="1"/>
    <col min="2602" max="2602" width="3.5703125" style="347" customWidth="1"/>
    <col min="2603" max="2603" width="4.42578125" style="347" customWidth="1"/>
    <col min="2604" max="2816" width="11.5703125" style="347"/>
    <col min="2817" max="2817" width="1.85546875" style="347" customWidth="1"/>
    <col min="2818" max="2818" width="32" style="347" customWidth="1"/>
    <col min="2819" max="2819" width="8" style="347" customWidth="1"/>
    <col min="2820" max="2820" width="8.42578125" style="347" customWidth="1"/>
    <col min="2821" max="2823" width="4.5703125" style="347" customWidth="1"/>
    <col min="2824" max="2824" width="7.140625" style="347" customWidth="1"/>
    <col min="2825" max="2825" width="7.42578125" style="347" customWidth="1"/>
    <col min="2826" max="2826" width="7.85546875" style="347" customWidth="1"/>
    <col min="2827" max="2827" width="8.42578125" style="347" customWidth="1"/>
    <col min="2828" max="2828" width="4.5703125" style="347" customWidth="1"/>
    <col min="2829" max="2829" width="7.85546875" style="347" customWidth="1"/>
    <col min="2830" max="2830" width="7.42578125" style="347" customWidth="1"/>
    <col min="2831" max="2831" width="8.140625" style="347" customWidth="1"/>
    <col min="2832" max="2832" width="7.85546875" style="347" customWidth="1"/>
    <col min="2833" max="2833" width="4.5703125" style="347" customWidth="1"/>
    <col min="2834" max="2834" width="5.5703125" style="347" customWidth="1"/>
    <col min="2835" max="2835" width="9.140625" style="347" customWidth="1"/>
    <col min="2836" max="2836" width="7" style="347" customWidth="1"/>
    <col min="2837" max="2837" width="8.42578125" style="347" customWidth="1"/>
    <col min="2838" max="2838" width="9" style="347" customWidth="1"/>
    <col min="2839" max="2841" width="4.5703125" style="347" customWidth="1"/>
    <col min="2842" max="2842" width="7.140625" style="347" customWidth="1"/>
    <col min="2843" max="2843" width="8.5703125" style="347" customWidth="1"/>
    <col min="2844" max="2847" width="4.5703125" style="347" customWidth="1"/>
    <col min="2848" max="2849" width="11.5703125" style="347"/>
    <col min="2850" max="2850" width="7.140625" style="347" customWidth="1"/>
    <col min="2851" max="2851" width="7.42578125" style="347" customWidth="1"/>
    <col min="2852" max="2852" width="6.5703125" style="347" customWidth="1"/>
    <col min="2853" max="2853" width="8.140625" style="347" customWidth="1"/>
    <col min="2854" max="2854" width="9.140625" style="347" customWidth="1"/>
    <col min="2855" max="2855" width="11.5703125" style="347"/>
    <col min="2856" max="2856" width="4.42578125" style="347" customWidth="1"/>
    <col min="2857" max="2857" width="4.85546875" style="347" customWidth="1"/>
    <col min="2858" max="2858" width="3.5703125" style="347" customWidth="1"/>
    <col min="2859" max="2859" width="4.42578125" style="347" customWidth="1"/>
    <col min="2860" max="3072" width="11.5703125" style="347"/>
    <col min="3073" max="3073" width="1.85546875" style="347" customWidth="1"/>
    <col min="3074" max="3074" width="32" style="347" customWidth="1"/>
    <col min="3075" max="3075" width="8" style="347" customWidth="1"/>
    <col min="3076" max="3076" width="8.42578125" style="347" customWidth="1"/>
    <col min="3077" max="3079" width="4.5703125" style="347" customWidth="1"/>
    <col min="3080" max="3080" width="7.140625" style="347" customWidth="1"/>
    <col min="3081" max="3081" width="7.42578125" style="347" customWidth="1"/>
    <col min="3082" max="3082" width="7.85546875" style="347" customWidth="1"/>
    <col min="3083" max="3083" width="8.42578125" style="347" customWidth="1"/>
    <col min="3084" max="3084" width="4.5703125" style="347" customWidth="1"/>
    <col min="3085" max="3085" width="7.85546875" style="347" customWidth="1"/>
    <col min="3086" max="3086" width="7.42578125" style="347" customWidth="1"/>
    <col min="3087" max="3087" width="8.140625" style="347" customWidth="1"/>
    <col min="3088" max="3088" width="7.85546875" style="347" customWidth="1"/>
    <col min="3089" max="3089" width="4.5703125" style="347" customWidth="1"/>
    <col min="3090" max="3090" width="5.5703125" style="347" customWidth="1"/>
    <col min="3091" max="3091" width="9.140625" style="347" customWidth="1"/>
    <col min="3092" max="3092" width="7" style="347" customWidth="1"/>
    <col min="3093" max="3093" width="8.42578125" style="347" customWidth="1"/>
    <col min="3094" max="3094" width="9" style="347" customWidth="1"/>
    <col min="3095" max="3097" width="4.5703125" style="347" customWidth="1"/>
    <col min="3098" max="3098" width="7.140625" style="347" customWidth="1"/>
    <col min="3099" max="3099" width="8.5703125" style="347" customWidth="1"/>
    <col min="3100" max="3103" width="4.5703125" style="347" customWidth="1"/>
    <col min="3104" max="3105" width="11.5703125" style="347"/>
    <col min="3106" max="3106" width="7.140625" style="347" customWidth="1"/>
    <col min="3107" max="3107" width="7.42578125" style="347" customWidth="1"/>
    <col min="3108" max="3108" width="6.5703125" style="347" customWidth="1"/>
    <col min="3109" max="3109" width="8.140625" style="347" customWidth="1"/>
    <col min="3110" max="3110" width="9.140625" style="347" customWidth="1"/>
    <col min="3111" max="3111" width="11.5703125" style="347"/>
    <col min="3112" max="3112" width="4.42578125" style="347" customWidth="1"/>
    <col min="3113" max="3113" width="4.85546875" style="347" customWidth="1"/>
    <col min="3114" max="3114" width="3.5703125" style="347" customWidth="1"/>
    <col min="3115" max="3115" width="4.42578125" style="347" customWidth="1"/>
    <col min="3116" max="3328" width="11.5703125" style="347"/>
    <col min="3329" max="3329" width="1.85546875" style="347" customWidth="1"/>
    <col min="3330" max="3330" width="32" style="347" customWidth="1"/>
    <col min="3331" max="3331" width="8" style="347" customWidth="1"/>
    <col min="3332" max="3332" width="8.42578125" style="347" customWidth="1"/>
    <col min="3333" max="3335" width="4.5703125" style="347" customWidth="1"/>
    <col min="3336" max="3336" width="7.140625" style="347" customWidth="1"/>
    <col min="3337" max="3337" width="7.42578125" style="347" customWidth="1"/>
    <col min="3338" max="3338" width="7.85546875" style="347" customWidth="1"/>
    <col min="3339" max="3339" width="8.42578125" style="347" customWidth="1"/>
    <col min="3340" max="3340" width="4.5703125" style="347" customWidth="1"/>
    <col min="3341" max="3341" width="7.85546875" style="347" customWidth="1"/>
    <col min="3342" max="3342" width="7.42578125" style="347" customWidth="1"/>
    <col min="3343" max="3343" width="8.140625" style="347" customWidth="1"/>
    <col min="3344" max="3344" width="7.85546875" style="347" customWidth="1"/>
    <col min="3345" max="3345" width="4.5703125" style="347" customWidth="1"/>
    <col min="3346" max="3346" width="5.5703125" style="347" customWidth="1"/>
    <col min="3347" max="3347" width="9.140625" style="347" customWidth="1"/>
    <col min="3348" max="3348" width="7" style="347" customWidth="1"/>
    <col min="3349" max="3349" width="8.42578125" style="347" customWidth="1"/>
    <col min="3350" max="3350" width="9" style="347" customWidth="1"/>
    <col min="3351" max="3353" width="4.5703125" style="347" customWidth="1"/>
    <col min="3354" max="3354" width="7.140625" style="347" customWidth="1"/>
    <col min="3355" max="3355" width="8.5703125" style="347" customWidth="1"/>
    <col min="3356" max="3359" width="4.5703125" style="347" customWidth="1"/>
    <col min="3360" max="3361" width="11.5703125" style="347"/>
    <col min="3362" max="3362" width="7.140625" style="347" customWidth="1"/>
    <col min="3363" max="3363" width="7.42578125" style="347" customWidth="1"/>
    <col min="3364" max="3364" width="6.5703125" style="347" customWidth="1"/>
    <col min="3365" max="3365" width="8.140625" style="347" customWidth="1"/>
    <col min="3366" max="3366" width="9.140625" style="347" customWidth="1"/>
    <col min="3367" max="3367" width="11.5703125" style="347"/>
    <col min="3368" max="3368" width="4.42578125" style="347" customWidth="1"/>
    <col min="3369" max="3369" width="4.85546875" style="347" customWidth="1"/>
    <col min="3370" max="3370" width="3.5703125" style="347" customWidth="1"/>
    <col min="3371" max="3371" width="4.42578125" style="347" customWidth="1"/>
    <col min="3372" max="3584" width="11.5703125" style="347"/>
    <col min="3585" max="3585" width="1.85546875" style="347" customWidth="1"/>
    <col min="3586" max="3586" width="32" style="347" customWidth="1"/>
    <col min="3587" max="3587" width="8" style="347" customWidth="1"/>
    <col min="3588" max="3588" width="8.42578125" style="347" customWidth="1"/>
    <col min="3589" max="3591" width="4.5703125" style="347" customWidth="1"/>
    <col min="3592" max="3592" width="7.140625" style="347" customWidth="1"/>
    <col min="3593" max="3593" width="7.42578125" style="347" customWidth="1"/>
    <col min="3594" max="3594" width="7.85546875" style="347" customWidth="1"/>
    <col min="3595" max="3595" width="8.42578125" style="347" customWidth="1"/>
    <col min="3596" max="3596" width="4.5703125" style="347" customWidth="1"/>
    <col min="3597" max="3597" width="7.85546875" style="347" customWidth="1"/>
    <col min="3598" max="3598" width="7.42578125" style="347" customWidth="1"/>
    <col min="3599" max="3599" width="8.140625" style="347" customWidth="1"/>
    <col min="3600" max="3600" width="7.85546875" style="347" customWidth="1"/>
    <col min="3601" max="3601" width="4.5703125" style="347" customWidth="1"/>
    <col min="3602" max="3602" width="5.5703125" style="347" customWidth="1"/>
    <col min="3603" max="3603" width="9.140625" style="347" customWidth="1"/>
    <col min="3604" max="3604" width="7" style="347" customWidth="1"/>
    <col min="3605" max="3605" width="8.42578125" style="347" customWidth="1"/>
    <col min="3606" max="3606" width="9" style="347" customWidth="1"/>
    <col min="3607" max="3609" width="4.5703125" style="347" customWidth="1"/>
    <col min="3610" max="3610" width="7.140625" style="347" customWidth="1"/>
    <col min="3611" max="3611" width="8.5703125" style="347" customWidth="1"/>
    <col min="3612" max="3615" width="4.5703125" style="347" customWidth="1"/>
    <col min="3616" max="3617" width="11.5703125" style="347"/>
    <col min="3618" max="3618" width="7.140625" style="347" customWidth="1"/>
    <col min="3619" max="3619" width="7.42578125" style="347" customWidth="1"/>
    <col min="3620" max="3620" width="6.5703125" style="347" customWidth="1"/>
    <col min="3621" max="3621" width="8.140625" style="347" customWidth="1"/>
    <col min="3622" max="3622" width="9.140625" style="347" customWidth="1"/>
    <col min="3623" max="3623" width="11.5703125" style="347"/>
    <col min="3624" max="3624" width="4.42578125" style="347" customWidth="1"/>
    <col min="3625" max="3625" width="4.85546875" style="347" customWidth="1"/>
    <col min="3626" max="3626" width="3.5703125" style="347" customWidth="1"/>
    <col min="3627" max="3627" width="4.42578125" style="347" customWidth="1"/>
    <col min="3628" max="3840" width="11.5703125" style="347"/>
    <col min="3841" max="3841" width="1.85546875" style="347" customWidth="1"/>
    <col min="3842" max="3842" width="32" style="347" customWidth="1"/>
    <col min="3843" max="3843" width="8" style="347" customWidth="1"/>
    <col min="3844" max="3844" width="8.42578125" style="347" customWidth="1"/>
    <col min="3845" max="3847" width="4.5703125" style="347" customWidth="1"/>
    <col min="3848" max="3848" width="7.140625" style="347" customWidth="1"/>
    <col min="3849" max="3849" width="7.42578125" style="347" customWidth="1"/>
    <col min="3850" max="3850" width="7.85546875" style="347" customWidth="1"/>
    <col min="3851" max="3851" width="8.42578125" style="347" customWidth="1"/>
    <col min="3852" max="3852" width="4.5703125" style="347" customWidth="1"/>
    <col min="3853" max="3853" width="7.85546875" style="347" customWidth="1"/>
    <col min="3854" max="3854" width="7.42578125" style="347" customWidth="1"/>
    <col min="3855" max="3855" width="8.140625" style="347" customWidth="1"/>
    <col min="3856" max="3856" width="7.85546875" style="347" customWidth="1"/>
    <col min="3857" max="3857" width="4.5703125" style="347" customWidth="1"/>
    <col min="3858" max="3858" width="5.5703125" style="347" customWidth="1"/>
    <col min="3859" max="3859" width="9.140625" style="347" customWidth="1"/>
    <col min="3860" max="3860" width="7" style="347" customWidth="1"/>
    <col min="3861" max="3861" width="8.42578125" style="347" customWidth="1"/>
    <col min="3862" max="3862" width="9" style="347" customWidth="1"/>
    <col min="3863" max="3865" width="4.5703125" style="347" customWidth="1"/>
    <col min="3866" max="3866" width="7.140625" style="347" customWidth="1"/>
    <col min="3867" max="3867" width="8.5703125" style="347" customWidth="1"/>
    <col min="3868" max="3871" width="4.5703125" style="347" customWidth="1"/>
    <col min="3872" max="3873" width="11.5703125" style="347"/>
    <col min="3874" max="3874" width="7.140625" style="347" customWidth="1"/>
    <col min="3875" max="3875" width="7.42578125" style="347" customWidth="1"/>
    <col min="3876" max="3876" width="6.5703125" style="347" customWidth="1"/>
    <col min="3877" max="3877" width="8.140625" style="347" customWidth="1"/>
    <col min="3878" max="3878" width="9.140625" style="347" customWidth="1"/>
    <col min="3879" max="3879" width="11.5703125" style="347"/>
    <col min="3880" max="3880" width="4.42578125" style="347" customWidth="1"/>
    <col min="3881" max="3881" width="4.85546875" style="347" customWidth="1"/>
    <col min="3882" max="3882" width="3.5703125" style="347" customWidth="1"/>
    <col min="3883" max="3883" width="4.42578125" style="347" customWidth="1"/>
    <col min="3884" max="4096" width="11.5703125" style="347"/>
    <col min="4097" max="4097" width="1.85546875" style="347" customWidth="1"/>
    <col min="4098" max="4098" width="32" style="347" customWidth="1"/>
    <col min="4099" max="4099" width="8" style="347" customWidth="1"/>
    <col min="4100" max="4100" width="8.42578125" style="347" customWidth="1"/>
    <col min="4101" max="4103" width="4.5703125" style="347" customWidth="1"/>
    <col min="4104" max="4104" width="7.140625" style="347" customWidth="1"/>
    <col min="4105" max="4105" width="7.42578125" style="347" customWidth="1"/>
    <col min="4106" max="4106" width="7.85546875" style="347" customWidth="1"/>
    <col min="4107" max="4107" width="8.42578125" style="347" customWidth="1"/>
    <col min="4108" max="4108" width="4.5703125" style="347" customWidth="1"/>
    <col min="4109" max="4109" width="7.85546875" style="347" customWidth="1"/>
    <col min="4110" max="4110" width="7.42578125" style="347" customWidth="1"/>
    <col min="4111" max="4111" width="8.140625" style="347" customWidth="1"/>
    <col min="4112" max="4112" width="7.85546875" style="347" customWidth="1"/>
    <col min="4113" max="4113" width="4.5703125" style="347" customWidth="1"/>
    <col min="4114" max="4114" width="5.5703125" style="347" customWidth="1"/>
    <col min="4115" max="4115" width="9.140625" style="347" customWidth="1"/>
    <col min="4116" max="4116" width="7" style="347" customWidth="1"/>
    <col min="4117" max="4117" width="8.42578125" style="347" customWidth="1"/>
    <col min="4118" max="4118" width="9" style="347" customWidth="1"/>
    <col min="4119" max="4121" width="4.5703125" style="347" customWidth="1"/>
    <col min="4122" max="4122" width="7.140625" style="347" customWidth="1"/>
    <col min="4123" max="4123" width="8.5703125" style="347" customWidth="1"/>
    <col min="4124" max="4127" width="4.5703125" style="347" customWidth="1"/>
    <col min="4128" max="4129" width="11.5703125" style="347"/>
    <col min="4130" max="4130" width="7.140625" style="347" customWidth="1"/>
    <col min="4131" max="4131" width="7.42578125" style="347" customWidth="1"/>
    <col min="4132" max="4132" width="6.5703125" style="347" customWidth="1"/>
    <col min="4133" max="4133" width="8.140625" style="347" customWidth="1"/>
    <col min="4134" max="4134" width="9.140625" style="347" customWidth="1"/>
    <col min="4135" max="4135" width="11.5703125" style="347"/>
    <col min="4136" max="4136" width="4.42578125" style="347" customWidth="1"/>
    <col min="4137" max="4137" width="4.85546875" style="347" customWidth="1"/>
    <col min="4138" max="4138" width="3.5703125" style="347" customWidth="1"/>
    <col min="4139" max="4139" width="4.42578125" style="347" customWidth="1"/>
    <col min="4140" max="4352" width="11.5703125" style="347"/>
    <col min="4353" max="4353" width="1.85546875" style="347" customWidth="1"/>
    <col min="4354" max="4354" width="32" style="347" customWidth="1"/>
    <col min="4355" max="4355" width="8" style="347" customWidth="1"/>
    <col min="4356" max="4356" width="8.42578125" style="347" customWidth="1"/>
    <col min="4357" max="4359" width="4.5703125" style="347" customWidth="1"/>
    <col min="4360" max="4360" width="7.140625" style="347" customWidth="1"/>
    <col min="4361" max="4361" width="7.42578125" style="347" customWidth="1"/>
    <col min="4362" max="4362" width="7.85546875" style="347" customWidth="1"/>
    <col min="4363" max="4363" width="8.42578125" style="347" customWidth="1"/>
    <col min="4364" max="4364" width="4.5703125" style="347" customWidth="1"/>
    <col min="4365" max="4365" width="7.85546875" style="347" customWidth="1"/>
    <col min="4366" max="4366" width="7.42578125" style="347" customWidth="1"/>
    <col min="4367" max="4367" width="8.140625" style="347" customWidth="1"/>
    <col min="4368" max="4368" width="7.85546875" style="347" customWidth="1"/>
    <col min="4369" max="4369" width="4.5703125" style="347" customWidth="1"/>
    <col min="4370" max="4370" width="5.5703125" style="347" customWidth="1"/>
    <col min="4371" max="4371" width="9.140625" style="347" customWidth="1"/>
    <col min="4372" max="4372" width="7" style="347" customWidth="1"/>
    <col min="4373" max="4373" width="8.42578125" style="347" customWidth="1"/>
    <col min="4374" max="4374" width="9" style="347" customWidth="1"/>
    <col min="4375" max="4377" width="4.5703125" style="347" customWidth="1"/>
    <col min="4378" max="4378" width="7.140625" style="347" customWidth="1"/>
    <col min="4379" max="4379" width="8.5703125" style="347" customWidth="1"/>
    <col min="4380" max="4383" width="4.5703125" style="347" customWidth="1"/>
    <col min="4384" max="4385" width="11.5703125" style="347"/>
    <col min="4386" max="4386" width="7.140625" style="347" customWidth="1"/>
    <col min="4387" max="4387" width="7.42578125" style="347" customWidth="1"/>
    <col min="4388" max="4388" width="6.5703125" style="347" customWidth="1"/>
    <col min="4389" max="4389" width="8.140625" style="347" customWidth="1"/>
    <col min="4390" max="4390" width="9.140625" style="347" customWidth="1"/>
    <col min="4391" max="4391" width="11.5703125" style="347"/>
    <col min="4392" max="4392" width="4.42578125" style="347" customWidth="1"/>
    <col min="4393" max="4393" width="4.85546875" style="347" customWidth="1"/>
    <col min="4394" max="4394" width="3.5703125" style="347" customWidth="1"/>
    <col min="4395" max="4395" width="4.42578125" style="347" customWidth="1"/>
    <col min="4396" max="4608" width="11.5703125" style="347"/>
    <col min="4609" max="4609" width="1.85546875" style="347" customWidth="1"/>
    <col min="4610" max="4610" width="32" style="347" customWidth="1"/>
    <col min="4611" max="4611" width="8" style="347" customWidth="1"/>
    <col min="4612" max="4612" width="8.42578125" style="347" customWidth="1"/>
    <col min="4613" max="4615" width="4.5703125" style="347" customWidth="1"/>
    <col min="4616" max="4616" width="7.140625" style="347" customWidth="1"/>
    <col min="4617" max="4617" width="7.42578125" style="347" customWidth="1"/>
    <col min="4618" max="4618" width="7.85546875" style="347" customWidth="1"/>
    <col min="4619" max="4619" width="8.42578125" style="347" customWidth="1"/>
    <col min="4620" max="4620" width="4.5703125" style="347" customWidth="1"/>
    <col min="4621" max="4621" width="7.85546875" style="347" customWidth="1"/>
    <col min="4622" max="4622" width="7.42578125" style="347" customWidth="1"/>
    <col min="4623" max="4623" width="8.140625" style="347" customWidth="1"/>
    <col min="4624" max="4624" width="7.85546875" style="347" customWidth="1"/>
    <col min="4625" max="4625" width="4.5703125" style="347" customWidth="1"/>
    <col min="4626" max="4626" width="5.5703125" style="347" customWidth="1"/>
    <col min="4627" max="4627" width="9.140625" style="347" customWidth="1"/>
    <col min="4628" max="4628" width="7" style="347" customWidth="1"/>
    <col min="4629" max="4629" width="8.42578125" style="347" customWidth="1"/>
    <col min="4630" max="4630" width="9" style="347" customWidth="1"/>
    <col min="4631" max="4633" width="4.5703125" style="347" customWidth="1"/>
    <col min="4634" max="4634" width="7.140625" style="347" customWidth="1"/>
    <col min="4635" max="4635" width="8.5703125" style="347" customWidth="1"/>
    <col min="4636" max="4639" width="4.5703125" style="347" customWidth="1"/>
    <col min="4640" max="4641" width="11.5703125" style="347"/>
    <col min="4642" max="4642" width="7.140625" style="347" customWidth="1"/>
    <col min="4643" max="4643" width="7.42578125" style="347" customWidth="1"/>
    <col min="4644" max="4644" width="6.5703125" style="347" customWidth="1"/>
    <col min="4645" max="4645" width="8.140625" style="347" customWidth="1"/>
    <col min="4646" max="4646" width="9.140625" style="347" customWidth="1"/>
    <col min="4647" max="4647" width="11.5703125" style="347"/>
    <col min="4648" max="4648" width="4.42578125" style="347" customWidth="1"/>
    <col min="4649" max="4649" width="4.85546875" style="347" customWidth="1"/>
    <col min="4650" max="4650" width="3.5703125" style="347" customWidth="1"/>
    <col min="4651" max="4651" width="4.42578125" style="347" customWidth="1"/>
    <col min="4652" max="4864" width="11.5703125" style="347"/>
    <col min="4865" max="4865" width="1.85546875" style="347" customWidth="1"/>
    <col min="4866" max="4866" width="32" style="347" customWidth="1"/>
    <col min="4867" max="4867" width="8" style="347" customWidth="1"/>
    <col min="4868" max="4868" width="8.42578125" style="347" customWidth="1"/>
    <col min="4869" max="4871" width="4.5703125" style="347" customWidth="1"/>
    <col min="4872" max="4872" width="7.140625" style="347" customWidth="1"/>
    <col min="4873" max="4873" width="7.42578125" style="347" customWidth="1"/>
    <col min="4874" max="4874" width="7.85546875" style="347" customWidth="1"/>
    <col min="4875" max="4875" width="8.42578125" style="347" customWidth="1"/>
    <col min="4876" max="4876" width="4.5703125" style="347" customWidth="1"/>
    <col min="4877" max="4877" width="7.85546875" style="347" customWidth="1"/>
    <col min="4878" max="4878" width="7.42578125" style="347" customWidth="1"/>
    <col min="4879" max="4879" width="8.140625" style="347" customWidth="1"/>
    <col min="4880" max="4880" width="7.85546875" style="347" customWidth="1"/>
    <col min="4881" max="4881" width="4.5703125" style="347" customWidth="1"/>
    <col min="4882" max="4882" width="5.5703125" style="347" customWidth="1"/>
    <col min="4883" max="4883" width="9.140625" style="347" customWidth="1"/>
    <col min="4884" max="4884" width="7" style="347" customWidth="1"/>
    <col min="4885" max="4885" width="8.42578125" style="347" customWidth="1"/>
    <col min="4886" max="4886" width="9" style="347" customWidth="1"/>
    <col min="4887" max="4889" width="4.5703125" style="347" customWidth="1"/>
    <col min="4890" max="4890" width="7.140625" style="347" customWidth="1"/>
    <col min="4891" max="4891" width="8.5703125" style="347" customWidth="1"/>
    <col min="4892" max="4895" width="4.5703125" style="347" customWidth="1"/>
    <col min="4896" max="4897" width="11.5703125" style="347"/>
    <col min="4898" max="4898" width="7.140625" style="347" customWidth="1"/>
    <col min="4899" max="4899" width="7.42578125" style="347" customWidth="1"/>
    <col min="4900" max="4900" width="6.5703125" style="347" customWidth="1"/>
    <col min="4901" max="4901" width="8.140625" style="347" customWidth="1"/>
    <col min="4902" max="4902" width="9.140625" style="347" customWidth="1"/>
    <col min="4903" max="4903" width="11.5703125" style="347"/>
    <col min="4904" max="4904" width="4.42578125" style="347" customWidth="1"/>
    <col min="4905" max="4905" width="4.85546875" style="347" customWidth="1"/>
    <col min="4906" max="4906" width="3.5703125" style="347" customWidth="1"/>
    <col min="4907" max="4907" width="4.42578125" style="347" customWidth="1"/>
    <col min="4908" max="5120" width="11.5703125" style="347"/>
    <col min="5121" max="5121" width="1.85546875" style="347" customWidth="1"/>
    <col min="5122" max="5122" width="32" style="347" customWidth="1"/>
    <col min="5123" max="5123" width="8" style="347" customWidth="1"/>
    <col min="5124" max="5124" width="8.42578125" style="347" customWidth="1"/>
    <col min="5125" max="5127" width="4.5703125" style="347" customWidth="1"/>
    <col min="5128" max="5128" width="7.140625" style="347" customWidth="1"/>
    <col min="5129" max="5129" width="7.42578125" style="347" customWidth="1"/>
    <col min="5130" max="5130" width="7.85546875" style="347" customWidth="1"/>
    <col min="5131" max="5131" width="8.42578125" style="347" customWidth="1"/>
    <col min="5132" max="5132" width="4.5703125" style="347" customWidth="1"/>
    <col min="5133" max="5133" width="7.85546875" style="347" customWidth="1"/>
    <col min="5134" max="5134" width="7.42578125" style="347" customWidth="1"/>
    <col min="5135" max="5135" width="8.140625" style="347" customWidth="1"/>
    <col min="5136" max="5136" width="7.85546875" style="347" customWidth="1"/>
    <col min="5137" max="5137" width="4.5703125" style="347" customWidth="1"/>
    <col min="5138" max="5138" width="5.5703125" style="347" customWidth="1"/>
    <col min="5139" max="5139" width="9.140625" style="347" customWidth="1"/>
    <col min="5140" max="5140" width="7" style="347" customWidth="1"/>
    <col min="5141" max="5141" width="8.42578125" style="347" customWidth="1"/>
    <col min="5142" max="5142" width="9" style="347" customWidth="1"/>
    <col min="5143" max="5145" width="4.5703125" style="347" customWidth="1"/>
    <col min="5146" max="5146" width="7.140625" style="347" customWidth="1"/>
    <col min="5147" max="5147" width="8.5703125" style="347" customWidth="1"/>
    <col min="5148" max="5151" width="4.5703125" style="347" customWidth="1"/>
    <col min="5152" max="5153" width="11.5703125" style="347"/>
    <col min="5154" max="5154" width="7.140625" style="347" customWidth="1"/>
    <col min="5155" max="5155" width="7.42578125" style="347" customWidth="1"/>
    <col min="5156" max="5156" width="6.5703125" style="347" customWidth="1"/>
    <col min="5157" max="5157" width="8.140625" style="347" customWidth="1"/>
    <col min="5158" max="5158" width="9.140625" style="347" customWidth="1"/>
    <col min="5159" max="5159" width="11.5703125" style="347"/>
    <col min="5160" max="5160" width="4.42578125" style="347" customWidth="1"/>
    <col min="5161" max="5161" width="4.85546875" style="347" customWidth="1"/>
    <col min="5162" max="5162" width="3.5703125" style="347" customWidth="1"/>
    <col min="5163" max="5163" width="4.42578125" style="347" customWidth="1"/>
    <col min="5164" max="5376" width="11.5703125" style="347"/>
    <col min="5377" max="5377" width="1.85546875" style="347" customWidth="1"/>
    <col min="5378" max="5378" width="32" style="347" customWidth="1"/>
    <col min="5379" max="5379" width="8" style="347" customWidth="1"/>
    <col min="5380" max="5380" width="8.42578125" style="347" customWidth="1"/>
    <col min="5381" max="5383" width="4.5703125" style="347" customWidth="1"/>
    <col min="5384" max="5384" width="7.140625" style="347" customWidth="1"/>
    <col min="5385" max="5385" width="7.42578125" style="347" customWidth="1"/>
    <col min="5386" max="5386" width="7.85546875" style="347" customWidth="1"/>
    <col min="5387" max="5387" width="8.42578125" style="347" customWidth="1"/>
    <col min="5388" max="5388" width="4.5703125" style="347" customWidth="1"/>
    <col min="5389" max="5389" width="7.85546875" style="347" customWidth="1"/>
    <col min="5390" max="5390" width="7.42578125" style="347" customWidth="1"/>
    <col min="5391" max="5391" width="8.140625" style="347" customWidth="1"/>
    <col min="5392" max="5392" width="7.85546875" style="347" customWidth="1"/>
    <col min="5393" max="5393" width="4.5703125" style="347" customWidth="1"/>
    <col min="5394" max="5394" width="5.5703125" style="347" customWidth="1"/>
    <col min="5395" max="5395" width="9.140625" style="347" customWidth="1"/>
    <col min="5396" max="5396" width="7" style="347" customWidth="1"/>
    <col min="5397" max="5397" width="8.42578125" style="347" customWidth="1"/>
    <col min="5398" max="5398" width="9" style="347" customWidth="1"/>
    <col min="5399" max="5401" width="4.5703125" style="347" customWidth="1"/>
    <col min="5402" max="5402" width="7.140625" style="347" customWidth="1"/>
    <col min="5403" max="5403" width="8.5703125" style="347" customWidth="1"/>
    <col min="5404" max="5407" width="4.5703125" style="347" customWidth="1"/>
    <col min="5408" max="5409" width="11.5703125" style="347"/>
    <col min="5410" max="5410" width="7.140625" style="347" customWidth="1"/>
    <col min="5411" max="5411" width="7.42578125" style="347" customWidth="1"/>
    <col min="5412" max="5412" width="6.5703125" style="347" customWidth="1"/>
    <col min="5413" max="5413" width="8.140625" style="347" customWidth="1"/>
    <col min="5414" max="5414" width="9.140625" style="347" customWidth="1"/>
    <col min="5415" max="5415" width="11.5703125" style="347"/>
    <col min="5416" max="5416" width="4.42578125" style="347" customWidth="1"/>
    <col min="5417" max="5417" width="4.85546875" style="347" customWidth="1"/>
    <col min="5418" max="5418" width="3.5703125" style="347" customWidth="1"/>
    <col min="5419" max="5419" width="4.42578125" style="347" customWidth="1"/>
    <col min="5420" max="5632" width="11.5703125" style="347"/>
    <col min="5633" max="5633" width="1.85546875" style="347" customWidth="1"/>
    <col min="5634" max="5634" width="32" style="347" customWidth="1"/>
    <col min="5635" max="5635" width="8" style="347" customWidth="1"/>
    <col min="5636" max="5636" width="8.42578125" style="347" customWidth="1"/>
    <col min="5637" max="5639" width="4.5703125" style="347" customWidth="1"/>
    <col min="5640" max="5640" width="7.140625" style="347" customWidth="1"/>
    <col min="5641" max="5641" width="7.42578125" style="347" customWidth="1"/>
    <col min="5642" max="5642" width="7.85546875" style="347" customWidth="1"/>
    <col min="5643" max="5643" width="8.42578125" style="347" customWidth="1"/>
    <col min="5644" max="5644" width="4.5703125" style="347" customWidth="1"/>
    <col min="5645" max="5645" width="7.85546875" style="347" customWidth="1"/>
    <col min="5646" max="5646" width="7.42578125" style="347" customWidth="1"/>
    <col min="5647" max="5647" width="8.140625" style="347" customWidth="1"/>
    <col min="5648" max="5648" width="7.85546875" style="347" customWidth="1"/>
    <col min="5649" max="5649" width="4.5703125" style="347" customWidth="1"/>
    <col min="5650" max="5650" width="5.5703125" style="347" customWidth="1"/>
    <col min="5651" max="5651" width="9.140625" style="347" customWidth="1"/>
    <col min="5652" max="5652" width="7" style="347" customWidth="1"/>
    <col min="5653" max="5653" width="8.42578125" style="347" customWidth="1"/>
    <col min="5654" max="5654" width="9" style="347" customWidth="1"/>
    <col min="5655" max="5657" width="4.5703125" style="347" customWidth="1"/>
    <col min="5658" max="5658" width="7.140625" style="347" customWidth="1"/>
    <col min="5659" max="5659" width="8.5703125" style="347" customWidth="1"/>
    <col min="5660" max="5663" width="4.5703125" style="347" customWidth="1"/>
    <col min="5664" max="5665" width="11.5703125" style="347"/>
    <col min="5666" max="5666" width="7.140625" style="347" customWidth="1"/>
    <col min="5667" max="5667" width="7.42578125" style="347" customWidth="1"/>
    <col min="5668" max="5668" width="6.5703125" style="347" customWidth="1"/>
    <col min="5669" max="5669" width="8.140625" style="347" customWidth="1"/>
    <col min="5670" max="5670" width="9.140625" style="347" customWidth="1"/>
    <col min="5671" max="5671" width="11.5703125" style="347"/>
    <col min="5672" max="5672" width="4.42578125" style="347" customWidth="1"/>
    <col min="5673" max="5673" width="4.85546875" style="347" customWidth="1"/>
    <col min="5674" max="5674" width="3.5703125" style="347" customWidth="1"/>
    <col min="5675" max="5675" width="4.42578125" style="347" customWidth="1"/>
    <col min="5676" max="5888" width="11.5703125" style="347"/>
    <col min="5889" max="5889" width="1.85546875" style="347" customWidth="1"/>
    <col min="5890" max="5890" width="32" style="347" customWidth="1"/>
    <col min="5891" max="5891" width="8" style="347" customWidth="1"/>
    <col min="5892" max="5892" width="8.42578125" style="347" customWidth="1"/>
    <col min="5893" max="5895" width="4.5703125" style="347" customWidth="1"/>
    <col min="5896" max="5896" width="7.140625" style="347" customWidth="1"/>
    <col min="5897" max="5897" width="7.42578125" style="347" customWidth="1"/>
    <col min="5898" max="5898" width="7.85546875" style="347" customWidth="1"/>
    <col min="5899" max="5899" width="8.42578125" style="347" customWidth="1"/>
    <col min="5900" max="5900" width="4.5703125" style="347" customWidth="1"/>
    <col min="5901" max="5901" width="7.85546875" style="347" customWidth="1"/>
    <col min="5902" max="5902" width="7.42578125" style="347" customWidth="1"/>
    <col min="5903" max="5903" width="8.140625" style="347" customWidth="1"/>
    <col min="5904" max="5904" width="7.85546875" style="347" customWidth="1"/>
    <col min="5905" max="5905" width="4.5703125" style="347" customWidth="1"/>
    <col min="5906" max="5906" width="5.5703125" style="347" customWidth="1"/>
    <col min="5907" max="5907" width="9.140625" style="347" customWidth="1"/>
    <col min="5908" max="5908" width="7" style="347" customWidth="1"/>
    <col min="5909" max="5909" width="8.42578125" style="347" customWidth="1"/>
    <col min="5910" max="5910" width="9" style="347" customWidth="1"/>
    <col min="5911" max="5913" width="4.5703125" style="347" customWidth="1"/>
    <col min="5914" max="5914" width="7.140625" style="347" customWidth="1"/>
    <col min="5915" max="5915" width="8.5703125" style="347" customWidth="1"/>
    <col min="5916" max="5919" width="4.5703125" style="347" customWidth="1"/>
    <col min="5920" max="5921" width="11.5703125" style="347"/>
    <col min="5922" max="5922" width="7.140625" style="347" customWidth="1"/>
    <col min="5923" max="5923" width="7.42578125" style="347" customWidth="1"/>
    <col min="5924" max="5924" width="6.5703125" style="347" customWidth="1"/>
    <col min="5925" max="5925" width="8.140625" style="347" customWidth="1"/>
    <col min="5926" max="5926" width="9.140625" style="347" customWidth="1"/>
    <col min="5927" max="5927" width="11.5703125" style="347"/>
    <col min="5928" max="5928" width="4.42578125" style="347" customWidth="1"/>
    <col min="5929" max="5929" width="4.85546875" style="347" customWidth="1"/>
    <col min="5930" max="5930" width="3.5703125" style="347" customWidth="1"/>
    <col min="5931" max="5931" width="4.42578125" style="347" customWidth="1"/>
    <col min="5932" max="6144" width="11.5703125" style="347"/>
    <col min="6145" max="6145" width="1.85546875" style="347" customWidth="1"/>
    <col min="6146" max="6146" width="32" style="347" customWidth="1"/>
    <col min="6147" max="6147" width="8" style="347" customWidth="1"/>
    <col min="6148" max="6148" width="8.42578125" style="347" customWidth="1"/>
    <col min="6149" max="6151" width="4.5703125" style="347" customWidth="1"/>
    <col min="6152" max="6152" width="7.140625" style="347" customWidth="1"/>
    <col min="6153" max="6153" width="7.42578125" style="347" customWidth="1"/>
    <col min="6154" max="6154" width="7.85546875" style="347" customWidth="1"/>
    <col min="6155" max="6155" width="8.42578125" style="347" customWidth="1"/>
    <col min="6156" max="6156" width="4.5703125" style="347" customWidth="1"/>
    <col min="6157" max="6157" width="7.85546875" style="347" customWidth="1"/>
    <col min="6158" max="6158" width="7.42578125" style="347" customWidth="1"/>
    <col min="6159" max="6159" width="8.140625" style="347" customWidth="1"/>
    <col min="6160" max="6160" width="7.85546875" style="347" customWidth="1"/>
    <col min="6161" max="6161" width="4.5703125" style="347" customWidth="1"/>
    <col min="6162" max="6162" width="5.5703125" style="347" customWidth="1"/>
    <col min="6163" max="6163" width="9.140625" style="347" customWidth="1"/>
    <col min="6164" max="6164" width="7" style="347" customWidth="1"/>
    <col min="6165" max="6165" width="8.42578125" style="347" customWidth="1"/>
    <col min="6166" max="6166" width="9" style="347" customWidth="1"/>
    <col min="6167" max="6169" width="4.5703125" style="347" customWidth="1"/>
    <col min="6170" max="6170" width="7.140625" style="347" customWidth="1"/>
    <col min="6171" max="6171" width="8.5703125" style="347" customWidth="1"/>
    <col min="6172" max="6175" width="4.5703125" style="347" customWidth="1"/>
    <col min="6176" max="6177" width="11.5703125" style="347"/>
    <col min="6178" max="6178" width="7.140625" style="347" customWidth="1"/>
    <col min="6179" max="6179" width="7.42578125" style="347" customWidth="1"/>
    <col min="6180" max="6180" width="6.5703125" style="347" customWidth="1"/>
    <col min="6181" max="6181" width="8.140625" style="347" customWidth="1"/>
    <col min="6182" max="6182" width="9.140625" style="347" customWidth="1"/>
    <col min="6183" max="6183" width="11.5703125" style="347"/>
    <col min="6184" max="6184" width="4.42578125" style="347" customWidth="1"/>
    <col min="6185" max="6185" width="4.85546875" style="347" customWidth="1"/>
    <col min="6186" max="6186" width="3.5703125" style="347" customWidth="1"/>
    <col min="6187" max="6187" width="4.42578125" style="347" customWidth="1"/>
    <col min="6188" max="6400" width="11.5703125" style="347"/>
    <col min="6401" max="6401" width="1.85546875" style="347" customWidth="1"/>
    <col min="6402" max="6402" width="32" style="347" customWidth="1"/>
    <col min="6403" max="6403" width="8" style="347" customWidth="1"/>
    <col min="6404" max="6404" width="8.42578125" style="347" customWidth="1"/>
    <col min="6405" max="6407" width="4.5703125" style="347" customWidth="1"/>
    <col min="6408" max="6408" width="7.140625" style="347" customWidth="1"/>
    <col min="6409" max="6409" width="7.42578125" style="347" customWidth="1"/>
    <col min="6410" max="6410" width="7.85546875" style="347" customWidth="1"/>
    <col min="6411" max="6411" width="8.42578125" style="347" customWidth="1"/>
    <col min="6412" max="6412" width="4.5703125" style="347" customWidth="1"/>
    <col min="6413" max="6413" width="7.85546875" style="347" customWidth="1"/>
    <col min="6414" max="6414" width="7.42578125" style="347" customWidth="1"/>
    <col min="6415" max="6415" width="8.140625" style="347" customWidth="1"/>
    <col min="6416" max="6416" width="7.85546875" style="347" customWidth="1"/>
    <col min="6417" max="6417" width="4.5703125" style="347" customWidth="1"/>
    <col min="6418" max="6418" width="5.5703125" style="347" customWidth="1"/>
    <col min="6419" max="6419" width="9.140625" style="347" customWidth="1"/>
    <col min="6420" max="6420" width="7" style="347" customWidth="1"/>
    <col min="6421" max="6421" width="8.42578125" style="347" customWidth="1"/>
    <col min="6422" max="6422" width="9" style="347" customWidth="1"/>
    <col min="6423" max="6425" width="4.5703125" style="347" customWidth="1"/>
    <col min="6426" max="6426" width="7.140625" style="347" customWidth="1"/>
    <col min="6427" max="6427" width="8.5703125" style="347" customWidth="1"/>
    <col min="6428" max="6431" width="4.5703125" style="347" customWidth="1"/>
    <col min="6432" max="6433" width="11.5703125" style="347"/>
    <col min="6434" max="6434" width="7.140625" style="347" customWidth="1"/>
    <col min="6435" max="6435" width="7.42578125" style="347" customWidth="1"/>
    <col min="6436" max="6436" width="6.5703125" style="347" customWidth="1"/>
    <col min="6437" max="6437" width="8.140625" style="347" customWidth="1"/>
    <col min="6438" max="6438" width="9.140625" style="347" customWidth="1"/>
    <col min="6439" max="6439" width="11.5703125" style="347"/>
    <col min="6440" max="6440" width="4.42578125" style="347" customWidth="1"/>
    <col min="6441" max="6441" width="4.85546875" style="347" customWidth="1"/>
    <col min="6442" max="6442" width="3.5703125" style="347" customWidth="1"/>
    <col min="6443" max="6443" width="4.42578125" style="347" customWidth="1"/>
    <col min="6444" max="6656" width="11.5703125" style="347"/>
    <col min="6657" max="6657" width="1.85546875" style="347" customWidth="1"/>
    <col min="6658" max="6658" width="32" style="347" customWidth="1"/>
    <col min="6659" max="6659" width="8" style="347" customWidth="1"/>
    <col min="6660" max="6660" width="8.42578125" style="347" customWidth="1"/>
    <col min="6661" max="6663" width="4.5703125" style="347" customWidth="1"/>
    <col min="6664" max="6664" width="7.140625" style="347" customWidth="1"/>
    <col min="6665" max="6665" width="7.42578125" style="347" customWidth="1"/>
    <col min="6666" max="6666" width="7.85546875" style="347" customWidth="1"/>
    <col min="6667" max="6667" width="8.42578125" style="347" customWidth="1"/>
    <col min="6668" max="6668" width="4.5703125" style="347" customWidth="1"/>
    <col min="6669" max="6669" width="7.85546875" style="347" customWidth="1"/>
    <col min="6670" max="6670" width="7.42578125" style="347" customWidth="1"/>
    <col min="6671" max="6671" width="8.140625" style="347" customWidth="1"/>
    <col min="6672" max="6672" width="7.85546875" style="347" customWidth="1"/>
    <col min="6673" max="6673" width="4.5703125" style="347" customWidth="1"/>
    <col min="6674" max="6674" width="5.5703125" style="347" customWidth="1"/>
    <col min="6675" max="6675" width="9.140625" style="347" customWidth="1"/>
    <col min="6676" max="6676" width="7" style="347" customWidth="1"/>
    <col min="6677" max="6677" width="8.42578125" style="347" customWidth="1"/>
    <col min="6678" max="6678" width="9" style="347" customWidth="1"/>
    <col min="6679" max="6681" width="4.5703125" style="347" customWidth="1"/>
    <col min="6682" max="6682" width="7.140625" style="347" customWidth="1"/>
    <col min="6683" max="6683" width="8.5703125" style="347" customWidth="1"/>
    <col min="6684" max="6687" width="4.5703125" style="347" customWidth="1"/>
    <col min="6688" max="6689" width="11.5703125" style="347"/>
    <col min="6690" max="6690" width="7.140625" style="347" customWidth="1"/>
    <col min="6691" max="6691" width="7.42578125" style="347" customWidth="1"/>
    <col min="6692" max="6692" width="6.5703125" style="347" customWidth="1"/>
    <col min="6693" max="6693" width="8.140625" style="347" customWidth="1"/>
    <col min="6694" max="6694" width="9.140625" style="347" customWidth="1"/>
    <col min="6695" max="6695" width="11.5703125" style="347"/>
    <col min="6696" max="6696" width="4.42578125" style="347" customWidth="1"/>
    <col min="6697" max="6697" width="4.85546875" style="347" customWidth="1"/>
    <col min="6698" max="6698" width="3.5703125" style="347" customWidth="1"/>
    <col min="6699" max="6699" width="4.42578125" style="347" customWidth="1"/>
    <col min="6700" max="6912" width="11.5703125" style="347"/>
    <col min="6913" max="6913" width="1.85546875" style="347" customWidth="1"/>
    <col min="6914" max="6914" width="32" style="347" customWidth="1"/>
    <col min="6915" max="6915" width="8" style="347" customWidth="1"/>
    <col min="6916" max="6916" width="8.42578125" style="347" customWidth="1"/>
    <col min="6917" max="6919" width="4.5703125" style="347" customWidth="1"/>
    <col min="6920" max="6920" width="7.140625" style="347" customWidth="1"/>
    <col min="6921" max="6921" width="7.42578125" style="347" customWidth="1"/>
    <col min="6922" max="6922" width="7.85546875" style="347" customWidth="1"/>
    <col min="6923" max="6923" width="8.42578125" style="347" customWidth="1"/>
    <col min="6924" max="6924" width="4.5703125" style="347" customWidth="1"/>
    <col min="6925" max="6925" width="7.85546875" style="347" customWidth="1"/>
    <col min="6926" max="6926" width="7.42578125" style="347" customWidth="1"/>
    <col min="6927" max="6927" width="8.140625" style="347" customWidth="1"/>
    <col min="6928" max="6928" width="7.85546875" style="347" customWidth="1"/>
    <col min="6929" max="6929" width="4.5703125" style="347" customWidth="1"/>
    <col min="6930" max="6930" width="5.5703125" style="347" customWidth="1"/>
    <col min="6931" max="6931" width="9.140625" style="347" customWidth="1"/>
    <col min="6932" max="6932" width="7" style="347" customWidth="1"/>
    <col min="6933" max="6933" width="8.42578125" style="347" customWidth="1"/>
    <col min="6934" max="6934" width="9" style="347" customWidth="1"/>
    <col min="6935" max="6937" width="4.5703125" style="347" customWidth="1"/>
    <col min="6938" max="6938" width="7.140625" style="347" customWidth="1"/>
    <col min="6939" max="6939" width="8.5703125" style="347" customWidth="1"/>
    <col min="6940" max="6943" width="4.5703125" style="347" customWidth="1"/>
    <col min="6944" max="6945" width="11.5703125" style="347"/>
    <col min="6946" max="6946" width="7.140625" style="347" customWidth="1"/>
    <col min="6947" max="6947" width="7.42578125" style="347" customWidth="1"/>
    <col min="6948" max="6948" width="6.5703125" style="347" customWidth="1"/>
    <col min="6949" max="6949" width="8.140625" style="347" customWidth="1"/>
    <col min="6950" max="6950" width="9.140625" style="347" customWidth="1"/>
    <col min="6951" max="6951" width="11.5703125" style="347"/>
    <col min="6952" max="6952" width="4.42578125" style="347" customWidth="1"/>
    <col min="6953" max="6953" width="4.85546875" style="347" customWidth="1"/>
    <col min="6954" max="6954" width="3.5703125" style="347" customWidth="1"/>
    <col min="6955" max="6955" width="4.42578125" style="347" customWidth="1"/>
    <col min="6956" max="7168" width="11.5703125" style="347"/>
    <col min="7169" max="7169" width="1.85546875" style="347" customWidth="1"/>
    <col min="7170" max="7170" width="32" style="347" customWidth="1"/>
    <col min="7171" max="7171" width="8" style="347" customWidth="1"/>
    <col min="7172" max="7172" width="8.42578125" style="347" customWidth="1"/>
    <col min="7173" max="7175" width="4.5703125" style="347" customWidth="1"/>
    <col min="7176" max="7176" width="7.140625" style="347" customWidth="1"/>
    <col min="7177" max="7177" width="7.42578125" style="347" customWidth="1"/>
    <col min="7178" max="7178" width="7.85546875" style="347" customWidth="1"/>
    <col min="7179" max="7179" width="8.42578125" style="347" customWidth="1"/>
    <col min="7180" max="7180" width="4.5703125" style="347" customWidth="1"/>
    <col min="7181" max="7181" width="7.85546875" style="347" customWidth="1"/>
    <col min="7182" max="7182" width="7.42578125" style="347" customWidth="1"/>
    <col min="7183" max="7183" width="8.140625" style="347" customWidth="1"/>
    <col min="7184" max="7184" width="7.85546875" style="347" customWidth="1"/>
    <col min="7185" max="7185" width="4.5703125" style="347" customWidth="1"/>
    <col min="7186" max="7186" width="5.5703125" style="347" customWidth="1"/>
    <col min="7187" max="7187" width="9.140625" style="347" customWidth="1"/>
    <col min="7188" max="7188" width="7" style="347" customWidth="1"/>
    <col min="7189" max="7189" width="8.42578125" style="347" customWidth="1"/>
    <col min="7190" max="7190" width="9" style="347" customWidth="1"/>
    <col min="7191" max="7193" width="4.5703125" style="347" customWidth="1"/>
    <col min="7194" max="7194" width="7.140625" style="347" customWidth="1"/>
    <col min="7195" max="7195" width="8.5703125" style="347" customWidth="1"/>
    <col min="7196" max="7199" width="4.5703125" style="347" customWidth="1"/>
    <col min="7200" max="7201" width="11.5703125" style="347"/>
    <col min="7202" max="7202" width="7.140625" style="347" customWidth="1"/>
    <col min="7203" max="7203" width="7.42578125" style="347" customWidth="1"/>
    <col min="7204" max="7204" width="6.5703125" style="347" customWidth="1"/>
    <col min="7205" max="7205" width="8.140625" style="347" customWidth="1"/>
    <col min="7206" max="7206" width="9.140625" style="347" customWidth="1"/>
    <col min="7207" max="7207" width="11.5703125" style="347"/>
    <col min="7208" max="7208" width="4.42578125" style="347" customWidth="1"/>
    <col min="7209" max="7209" width="4.85546875" style="347" customWidth="1"/>
    <col min="7210" max="7210" width="3.5703125" style="347" customWidth="1"/>
    <col min="7211" max="7211" width="4.42578125" style="347" customWidth="1"/>
    <col min="7212" max="7424" width="11.5703125" style="347"/>
    <col min="7425" max="7425" width="1.85546875" style="347" customWidth="1"/>
    <col min="7426" max="7426" width="32" style="347" customWidth="1"/>
    <col min="7427" max="7427" width="8" style="347" customWidth="1"/>
    <col min="7428" max="7428" width="8.42578125" style="347" customWidth="1"/>
    <col min="7429" max="7431" width="4.5703125" style="347" customWidth="1"/>
    <col min="7432" max="7432" width="7.140625" style="347" customWidth="1"/>
    <col min="7433" max="7433" width="7.42578125" style="347" customWidth="1"/>
    <col min="7434" max="7434" width="7.85546875" style="347" customWidth="1"/>
    <col min="7435" max="7435" width="8.42578125" style="347" customWidth="1"/>
    <col min="7436" max="7436" width="4.5703125" style="347" customWidth="1"/>
    <col min="7437" max="7437" width="7.85546875" style="347" customWidth="1"/>
    <col min="7438" max="7438" width="7.42578125" style="347" customWidth="1"/>
    <col min="7439" max="7439" width="8.140625" style="347" customWidth="1"/>
    <col min="7440" max="7440" width="7.85546875" style="347" customWidth="1"/>
    <col min="7441" max="7441" width="4.5703125" style="347" customWidth="1"/>
    <col min="7442" max="7442" width="5.5703125" style="347" customWidth="1"/>
    <col min="7443" max="7443" width="9.140625" style="347" customWidth="1"/>
    <col min="7444" max="7444" width="7" style="347" customWidth="1"/>
    <col min="7445" max="7445" width="8.42578125" style="347" customWidth="1"/>
    <col min="7446" max="7446" width="9" style="347" customWidth="1"/>
    <col min="7447" max="7449" width="4.5703125" style="347" customWidth="1"/>
    <col min="7450" max="7450" width="7.140625" style="347" customWidth="1"/>
    <col min="7451" max="7451" width="8.5703125" style="347" customWidth="1"/>
    <col min="7452" max="7455" width="4.5703125" style="347" customWidth="1"/>
    <col min="7456" max="7457" width="11.5703125" style="347"/>
    <col min="7458" max="7458" width="7.140625" style="347" customWidth="1"/>
    <col min="7459" max="7459" width="7.42578125" style="347" customWidth="1"/>
    <col min="7460" max="7460" width="6.5703125" style="347" customWidth="1"/>
    <col min="7461" max="7461" width="8.140625" style="347" customWidth="1"/>
    <col min="7462" max="7462" width="9.140625" style="347" customWidth="1"/>
    <col min="7463" max="7463" width="11.5703125" style="347"/>
    <col min="7464" max="7464" width="4.42578125" style="347" customWidth="1"/>
    <col min="7465" max="7465" width="4.85546875" style="347" customWidth="1"/>
    <col min="7466" max="7466" width="3.5703125" style="347" customWidth="1"/>
    <col min="7467" max="7467" width="4.42578125" style="347" customWidth="1"/>
    <col min="7468" max="7680" width="11.5703125" style="347"/>
    <col min="7681" max="7681" width="1.85546875" style="347" customWidth="1"/>
    <col min="7682" max="7682" width="32" style="347" customWidth="1"/>
    <col min="7683" max="7683" width="8" style="347" customWidth="1"/>
    <col min="7684" max="7684" width="8.42578125" style="347" customWidth="1"/>
    <col min="7685" max="7687" width="4.5703125" style="347" customWidth="1"/>
    <col min="7688" max="7688" width="7.140625" style="347" customWidth="1"/>
    <col min="7689" max="7689" width="7.42578125" style="347" customWidth="1"/>
    <col min="7690" max="7690" width="7.85546875" style="347" customWidth="1"/>
    <col min="7691" max="7691" width="8.42578125" style="347" customWidth="1"/>
    <col min="7692" max="7692" width="4.5703125" style="347" customWidth="1"/>
    <col min="7693" max="7693" width="7.85546875" style="347" customWidth="1"/>
    <col min="7694" max="7694" width="7.42578125" style="347" customWidth="1"/>
    <col min="7695" max="7695" width="8.140625" style="347" customWidth="1"/>
    <col min="7696" max="7696" width="7.85546875" style="347" customWidth="1"/>
    <col min="7697" max="7697" width="4.5703125" style="347" customWidth="1"/>
    <col min="7698" max="7698" width="5.5703125" style="347" customWidth="1"/>
    <col min="7699" max="7699" width="9.140625" style="347" customWidth="1"/>
    <col min="7700" max="7700" width="7" style="347" customWidth="1"/>
    <col min="7701" max="7701" width="8.42578125" style="347" customWidth="1"/>
    <col min="7702" max="7702" width="9" style="347" customWidth="1"/>
    <col min="7703" max="7705" width="4.5703125" style="347" customWidth="1"/>
    <col min="7706" max="7706" width="7.140625" style="347" customWidth="1"/>
    <col min="7707" max="7707" width="8.5703125" style="347" customWidth="1"/>
    <col min="7708" max="7711" width="4.5703125" style="347" customWidth="1"/>
    <col min="7712" max="7713" width="11.5703125" style="347"/>
    <col min="7714" max="7714" width="7.140625" style="347" customWidth="1"/>
    <col min="7715" max="7715" width="7.42578125" style="347" customWidth="1"/>
    <col min="7716" max="7716" width="6.5703125" style="347" customWidth="1"/>
    <col min="7717" max="7717" width="8.140625" style="347" customWidth="1"/>
    <col min="7718" max="7718" width="9.140625" style="347" customWidth="1"/>
    <col min="7719" max="7719" width="11.5703125" style="347"/>
    <col min="7720" max="7720" width="4.42578125" style="347" customWidth="1"/>
    <col min="7721" max="7721" width="4.85546875" style="347" customWidth="1"/>
    <col min="7722" max="7722" width="3.5703125" style="347" customWidth="1"/>
    <col min="7723" max="7723" width="4.42578125" style="347" customWidth="1"/>
    <col min="7724" max="7936" width="11.5703125" style="347"/>
    <col min="7937" max="7937" width="1.85546875" style="347" customWidth="1"/>
    <col min="7938" max="7938" width="32" style="347" customWidth="1"/>
    <col min="7939" max="7939" width="8" style="347" customWidth="1"/>
    <col min="7940" max="7940" width="8.42578125" style="347" customWidth="1"/>
    <col min="7941" max="7943" width="4.5703125" style="347" customWidth="1"/>
    <col min="7944" max="7944" width="7.140625" style="347" customWidth="1"/>
    <col min="7945" max="7945" width="7.42578125" style="347" customWidth="1"/>
    <col min="7946" max="7946" width="7.85546875" style="347" customWidth="1"/>
    <col min="7947" max="7947" width="8.42578125" style="347" customWidth="1"/>
    <col min="7948" max="7948" width="4.5703125" style="347" customWidth="1"/>
    <col min="7949" max="7949" width="7.85546875" style="347" customWidth="1"/>
    <col min="7950" max="7950" width="7.42578125" style="347" customWidth="1"/>
    <col min="7951" max="7951" width="8.140625" style="347" customWidth="1"/>
    <col min="7952" max="7952" width="7.85546875" style="347" customWidth="1"/>
    <col min="7953" max="7953" width="4.5703125" style="347" customWidth="1"/>
    <col min="7954" max="7954" width="5.5703125" style="347" customWidth="1"/>
    <col min="7955" max="7955" width="9.140625" style="347" customWidth="1"/>
    <col min="7956" max="7956" width="7" style="347" customWidth="1"/>
    <col min="7957" max="7957" width="8.42578125" style="347" customWidth="1"/>
    <col min="7958" max="7958" width="9" style="347" customWidth="1"/>
    <col min="7959" max="7961" width="4.5703125" style="347" customWidth="1"/>
    <col min="7962" max="7962" width="7.140625" style="347" customWidth="1"/>
    <col min="7963" max="7963" width="8.5703125" style="347" customWidth="1"/>
    <col min="7964" max="7967" width="4.5703125" style="347" customWidth="1"/>
    <col min="7968" max="7969" width="11.5703125" style="347"/>
    <col min="7970" max="7970" width="7.140625" style="347" customWidth="1"/>
    <col min="7971" max="7971" width="7.42578125" style="347" customWidth="1"/>
    <col min="7972" max="7972" width="6.5703125" style="347" customWidth="1"/>
    <col min="7973" max="7973" width="8.140625" style="347" customWidth="1"/>
    <col min="7974" max="7974" width="9.140625" style="347" customWidth="1"/>
    <col min="7975" max="7975" width="11.5703125" style="347"/>
    <col min="7976" max="7976" width="4.42578125" style="347" customWidth="1"/>
    <col min="7977" max="7977" width="4.85546875" style="347" customWidth="1"/>
    <col min="7978" max="7978" width="3.5703125" style="347" customWidth="1"/>
    <col min="7979" max="7979" width="4.42578125" style="347" customWidth="1"/>
    <col min="7980" max="8192" width="11.5703125" style="347"/>
    <col min="8193" max="8193" width="1.85546875" style="347" customWidth="1"/>
    <col min="8194" max="8194" width="32" style="347" customWidth="1"/>
    <col min="8195" max="8195" width="8" style="347" customWidth="1"/>
    <col min="8196" max="8196" width="8.42578125" style="347" customWidth="1"/>
    <col min="8197" max="8199" width="4.5703125" style="347" customWidth="1"/>
    <col min="8200" max="8200" width="7.140625" style="347" customWidth="1"/>
    <col min="8201" max="8201" width="7.42578125" style="347" customWidth="1"/>
    <col min="8202" max="8202" width="7.85546875" style="347" customWidth="1"/>
    <col min="8203" max="8203" width="8.42578125" style="347" customWidth="1"/>
    <col min="8204" max="8204" width="4.5703125" style="347" customWidth="1"/>
    <col min="8205" max="8205" width="7.85546875" style="347" customWidth="1"/>
    <col min="8206" max="8206" width="7.42578125" style="347" customWidth="1"/>
    <col min="8207" max="8207" width="8.140625" style="347" customWidth="1"/>
    <col min="8208" max="8208" width="7.85546875" style="347" customWidth="1"/>
    <col min="8209" max="8209" width="4.5703125" style="347" customWidth="1"/>
    <col min="8210" max="8210" width="5.5703125" style="347" customWidth="1"/>
    <col min="8211" max="8211" width="9.140625" style="347" customWidth="1"/>
    <col min="8212" max="8212" width="7" style="347" customWidth="1"/>
    <col min="8213" max="8213" width="8.42578125" style="347" customWidth="1"/>
    <col min="8214" max="8214" width="9" style="347" customWidth="1"/>
    <col min="8215" max="8217" width="4.5703125" style="347" customWidth="1"/>
    <col min="8218" max="8218" width="7.140625" style="347" customWidth="1"/>
    <col min="8219" max="8219" width="8.5703125" style="347" customWidth="1"/>
    <col min="8220" max="8223" width="4.5703125" style="347" customWidth="1"/>
    <col min="8224" max="8225" width="11.5703125" style="347"/>
    <col min="8226" max="8226" width="7.140625" style="347" customWidth="1"/>
    <col min="8227" max="8227" width="7.42578125" style="347" customWidth="1"/>
    <col min="8228" max="8228" width="6.5703125" style="347" customWidth="1"/>
    <col min="8229" max="8229" width="8.140625" style="347" customWidth="1"/>
    <col min="8230" max="8230" width="9.140625" style="347" customWidth="1"/>
    <col min="8231" max="8231" width="11.5703125" style="347"/>
    <col min="8232" max="8232" width="4.42578125" style="347" customWidth="1"/>
    <col min="8233" max="8233" width="4.85546875" style="347" customWidth="1"/>
    <col min="8234" max="8234" width="3.5703125" style="347" customWidth="1"/>
    <col min="8235" max="8235" width="4.42578125" style="347" customWidth="1"/>
    <col min="8236" max="8448" width="11.5703125" style="347"/>
    <col min="8449" max="8449" width="1.85546875" style="347" customWidth="1"/>
    <col min="8450" max="8450" width="32" style="347" customWidth="1"/>
    <col min="8451" max="8451" width="8" style="347" customWidth="1"/>
    <col min="8452" max="8452" width="8.42578125" style="347" customWidth="1"/>
    <col min="8453" max="8455" width="4.5703125" style="347" customWidth="1"/>
    <col min="8456" max="8456" width="7.140625" style="347" customWidth="1"/>
    <col min="8457" max="8457" width="7.42578125" style="347" customWidth="1"/>
    <col min="8458" max="8458" width="7.85546875" style="347" customWidth="1"/>
    <col min="8459" max="8459" width="8.42578125" style="347" customWidth="1"/>
    <col min="8460" max="8460" width="4.5703125" style="347" customWidth="1"/>
    <col min="8461" max="8461" width="7.85546875" style="347" customWidth="1"/>
    <col min="8462" max="8462" width="7.42578125" style="347" customWidth="1"/>
    <col min="8463" max="8463" width="8.140625" style="347" customWidth="1"/>
    <col min="8464" max="8464" width="7.85546875" style="347" customWidth="1"/>
    <col min="8465" max="8465" width="4.5703125" style="347" customWidth="1"/>
    <col min="8466" max="8466" width="5.5703125" style="347" customWidth="1"/>
    <col min="8467" max="8467" width="9.140625" style="347" customWidth="1"/>
    <col min="8468" max="8468" width="7" style="347" customWidth="1"/>
    <col min="8469" max="8469" width="8.42578125" style="347" customWidth="1"/>
    <col min="8470" max="8470" width="9" style="347" customWidth="1"/>
    <col min="8471" max="8473" width="4.5703125" style="347" customWidth="1"/>
    <col min="8474" max="8474" width="7.140625" style="347" customWidth="1"/>
    <col min="8475" max="8475" width="8.5703125" style="347" customWidth="1"/>
    <col min="8476" max="8479" width="4.5703125" style="347" customWidth="1"/>
    <col min="8480" max="8481" width="11.5703125" style="347"/>
    <col min="8482" max="8482" width="7.140625" style="347" customWidth="1"/>
    <col min="8483" max="8483" width="7.42578125" style="347" customWidth="1"/>
    <col min="8484" max="8484" width="6.5703125" style="347" customWidth="1"/>
    <col min="8485" max="8485" width="8.140625" style="347" customWidth="1"/>
    <col min="8486" max="8486" width="9.140625" style="347" customWidth="1"/>
    <col min="8487" max="8487" width="11.5703125" style="347"/>
    <col min="8488" max="8488" width="4.42578125" style="347" customWidth="1"/>
    <col min="8489" max="8489" width="4.85546875" style="347" customWidth="1"/>
    <col min="8490" max="8490" width="3.5703125" style="347" customWidth="1"/>
    <col min="8491" max="8491" width="4.42578125" style="347" customWidth="1"/>
    <col min="8492" max="8704" width="11.5703125" style="347"/>
    <col min="8705" max="8705" width="1.85546875" style="347" customWidth="1"/>
    <col min="8706" max="8706" width="32" style="347" customWidth="1"/>
    <col min="8707" max="8707" width="8" style="347" customWidth="1"/>
    <col min="8708" max="8708" width="8.42578125" style="347" customWidth="1"/>
    <col min="8709" max="8711" width="4.5703125" style="347" customWidth="1"/>
    <col min="8712" max="8712" width="7.140625" style="347" customWidth="1"/>
    <col min="8713" max="8713" width="7.42578125" style="347" customWidth="1"/>
    <col min="8714" max="8714" width="7.85546875" style="347" customWidth="1"/>
    <col min="8715" max="8715" width="8.42578125" style="347" customWidth="1"/>
    <col min="8716" max="8716" width="4.5703125" style="347" customWidth="1"/>
    <col min="8717" max="8717" width="7.85546875" style="347" customWidth="1"/>
    <col min="8718" max="8718" width="7.42578125" style="347" customWidth="1"/>
    <col min="8719" max="8719" width="8.140625" style="347" customWidth="1"/>
    <col min="8720" max="8720" width="7.85546875" style="347" customWidth="1"/>
    <col min="8721" max="8721" width="4.5703125" style="347" customWidth="1"/>
    <col min="8722" max="8722" width="5.5703125" style="347" customWidth="1"/>
    <col min="8723" max="8723" width="9.140625" style="347" customWidth="1"/>
    <col min="8724" max="8724" width="7" style="347" customWidth="1"/>
    <col min="8725" max="8725" width="8.42578125" style="347" customWidth="1"/>
    <col min="8726" max="8726" width="9" style="347" customWidth="1"/>
    <col min="8727" max="8729" width="4.5703125" style="347" customWidth="1"/>
    <col min="8730" max="8730" width="7.140625" style="347" customWidth="1"/>
    <col min="8731" max="8731" width="8.5703125" style="347" customWidth="1"/>
    <col min="8732" max="8735" width="4.5703125" style="347" customWidth="1"/>
    <col min="8736" max="8737" width="11.5703125" style="347"/>
    <col min="8738" max="8738" width="7.140625" style="347" customWidth="1"/>
    <col min="8739" max="8739" width="7.42578125" style="347" customWidth="1"/>
    <col min="8740" max="8740" width="6.5703125" style="347" customWidth="1"/>
    <col min="8741" max="8741" width="8.140625" style="347" customWidth="1"/>
    <col min="8742" max="8742" width="9.140625" style="347" customWidth="1"/>
    <col min="8743" max="8743" width="11.5703125" style="347"/>
    <col min="8744" max="8744" width="4.42578125" style="347" customWidth="1"/>
    <col min="8745" max="8745" width="4.85546875" style="347" customWidth="1"/>
    <col min="8746" max="8746" width="3.5703125" style="347" customWidth="1"/>
    <col min="8747" max="8747" width="4.42578125" style="347" customWidth="1"/>
    <col min="8748" max="8960" width="11.5703125" style="347"/>
    <col min="8961" max="8961" width="1.85546875" style="347" customWidth="1"/>
    <col min="8962" max="8962" width="32" style="347" customWidth="1"/>
    <col min="8963" max="8963" width="8" style="347" customWidth="1"/>
    <col min="8964" max="8964" width="8.42578125" style="347" customWidth="1"/>
    <col min="8965" max="8967" width="4.5703125" style="347" customWidth="1"/>
    <col min="8968" max="8968" width="7.140625" style="347" customWidth="1"/>
    <col min="8969" max="8969" width="7.42578125" style="347" customWidth="1"/>
    <col min="8970" max="8970" width="7.85546875" style="347" customWidth="1"/>
    <col min="8971" max="8971" width="8.42578125" style="347" customWidth="1"/>
    <col min="8972" max="8972" width="4.5703125" style="347" customWidth="1"/>
    <col min="8973" max="8973" width="7.85546875" style="347" customWidth="1"/>
    <col min="8974" max="8974" width="7.42578125" style="347" customWidth="1"/>
    <col min="8975" max="8975" width="8.140625" style="347" customWidth="1"/>
    <col min="8976" max="8976" width="7.85546875" style="347" customWidth="1"/>
    <col min="8977" max="8977" width="4.5703125" style="347" customWidth="1"/>
    <col min="8978" max="8978" width="5.5703125" style="347" customWidth="1"/>
    <col min="8979" max="8979" width="9.140625" style="347" customWidth="1"/>
    <col min="8980" max="8980" width="7" style="347" customWidth="1"/>
    <col min="8981" max="8981" width="8.42578125" style="347" customWidth="1"/>
    <col min="8982" max="8982" width="9" style="347" customWidth="1"/>
    <col min="8983" max="8985" width="4.5703125" style="347" customWidth="1"/>
    <col min="8986" max="8986" width="7.140625" style="347" customWidth="1"/>
    <col min="8987" max="8987" width="8.5703125" style="347" customWidth="1"/>
    <col min="8988" max="8991" width="4.5703125" style="347" customWidth="1"/>
    <col min="8992" max="8993" width="11.5703125" style="347"/>
    <col min="8994" max="8994" width="7.140625" style="347" customWidth="1"/>
    <col min="8995" max="8995" width="7.42578125" style="347" customWidth="1"/>
    <col min="8996" max="8996" width="6.5703125" style="347" customWidth="1"/>
    <col min="8997" max="8997" width="8.140625" style="347" customWidth="1"/>
    <col min="8998" max="8998" width="9.140625" style="347" customWidth="1"/>
    <col min="8999" max="8999" width="11.5703125" style="347"/>
    <col min="9000" max="9000" width="4.42578125" style="347" customWidth="1"/>
    <col min="9001" max="9001" width="4.85546875" style="347" customWidth="1"/>
    <col min="9002" max="9002" width="3.5703125" style="347" customWidth="1"/>
    <col min="9003" max="9003" width="4.42578125" style="347" customWidth="1"/>
    <col min="9004" max="9216" width="11.5703125" style="347"/>
    <col min="9217" max="9217" width="1.85546875" style="347" customWidth="1"/>
    <col min="9218" max="9218" width="32" style="347" customWidth="1"/>
    <col min="9219" max="9219" width="8" style="347" customWidth="1"/>
    <col min="9220" max="9220" width="8.42578125" style="347" customWidth="1"/>
    <col min="9221" max="9223" width="4.5703125" style="347" customWidth="1"/>
    <col min="9224" max="9224" width="7.140625" style="347" customWidth="1"/>
    <col min="9225" max="9225" width="7.42578125" style="347" customWidth="1"/>
    <col min="9226" max="9226" width="7.85546875" style="347" customWidth="1"/>
    <col min="9227" max="9227" width="8.42578125" style="347" customWidth="1"/>
    <col min="9228" max="9228" width="4.5703125" style="347" customWidth="1"/>
    <col min="9229" max="9229" width="7.85546875" style="347" customWidth="1"/>
    <col min="9230" max="9230" width="7.42578125" style="347" customWidth="1"/>
    <col min="9231" max="9231" width="8.140625" style="347" customWidth="1"/>
    <col min="9232" max="9232" width="7.85546875" style="347" customWidth="1"/>
    <col min="9233" max="9233" width="4.5703125" style="347" customWidth="1"/>
    <col min="9234" max="9234" width="5.5703125" style="347" customWidth="1"/>
    <col min="9235" max="9235" width="9.140625" style="347" customWidth="1"/>
    <col min="9236" max="9236" width="7" style="347" customWidth="1"/>
    <col min="9237" max="9237" width="8.42578125" style="347" customWidth="1"/>
    <col min="9238" max="9238" width="9" style="347" customWidth="1"/>
    <col min="9239" max="9241" width="4.5703125" style="347" customWidth="1"/>
    <col min="9242" max="9242" width="7.140625" style="347" customWidth="1"/>
    <col min="9243" max="9243" width="8.5703125" style="347" customWidth="1"/>
    <col min="9244" max="9247" width="4.5703125" style="347" customWidth="1"/>
    <col min="9248" max="9249" width="11.5703125" style="347"/>
    <col min="9250" max="9250" width="7.140625" style="347" customWidth="1"/>
    <col min="9251" max="9251" width="7.42578125" style="347" customWidth="1"/>
    <col min="9252" max="9252" width="6.5703125" style="347" customWidth="1"/>
    <col min="9253" max="9253" width="8.140625" style="347" customWidth="1"/>
    <col min="9254" max="9254" width="9.140625" style="347" customWidth="1"/>
    <col min="9255" max="9255" width="11.5703125" style="347"/>
    <col min="9256" max="9256" width="4.42578125" style="347" customWidth="1"/>
    <col min="9257" max="9257" width="4.85546875" style="347" customWidth="1"/>
    <col min="9258" max="9258" width="3.5703125" style="347" customWidth="1"/>
    <col min="9259" max="9259" width="4.42578125" style="347" customWidth="1"/>
    <col min="9260" max="9472" width="11.5703125" style="347"/>
    <col min="9473" max="9473" width="1.85546875" style="347" customWidth="1"/>
    <col min="9474" max="9474" width="32" style="347" customWidth="1"/>
    <col min="9475" max="9475" width="8" style="347" customWidth="1"/>
    <col min="9476" max="9476" width="8.42578125" style="347" customWidth="1"/>
    <col min="9477" max="9479" width="4.5703125" style="347" customWidth="1"/>
    <col min="9480" max="9480" width="7.140625" style="347" customWidth="1"/>
    <col min="9481" max="9481" width="7.42578125" style="347" customWidth="1"/>
    <col min="9482" max="9482" width="7.85546875" style="347" customWidth="1"/>
    <col min="9483" max="9483" width="8.42578125" style="347" customWidth="1"/>
    <col min="9484" max="9484" width="4.5703125" style="347" customWidth="1"/>
    <col min="9485" max="9485" width="7.85546875" style="347" customWidth="1"/>
    <col min="9486" max="9486" width="7.42578125" style="347" customWidth="1"/>
    <col min="9487" max="9487" width="8.140625" style="347" customWidth="1"/>
    <col min="9488" max="9488" width="7.85546875" style="347" customWidth="1"/>
    <col min="9489" max="9489" width="4.5703125" style="347" customWidth="1"/>
    <col min="9490" max="9490" width="5.5703125" style="347" customWidth="1"/>
    <col min="9491" max="9491" width="9.140625" style="347" customWidth="1"/>
    <col min="9492" max="9492" width="7" style="347" customWidth="1"/>
    <col min="9493" max="9493" width="8.42578125" style="347" customWidth="1"/>
    <col min="9494" max="9494" width="9" style="347" customWidth="1"/>
    <col min="9495" max="9497" width="4.5703125" style="347" customWidth="1"/>
    <col min="9498" max="9498" width="7.140625" style="347" customWidth="1"/>
    <col min="9499" max="9499" width="8.5703125" style="347" customWidth="1"/>
    <col min="9500" max="9503" width="4.5703125" style="347" customWidth="1"/>
    <col min="9504" max="9505" width="11.5703125" style="347"/>
    <col min="9506" max="9506" width="7.140625" style="347" customWidth="1"/>
    <col min="9507" max="9507" width="7.42578125" style="347" customWidth="1"/>
    <col min="9508" max="9508" width="6.5703125" style="347" customWidth="1"/>
    <col min="9509" max="9509" width="8.140625" style="347" customWidth="1"/>
    <col min="9510" max="9510" width="9.140625" style="347" customWidth="1"/>
    <col min="9511" max="9511" width="11.5703125" style="347"/>
    <col min="9512" max="9512" width="4.42578125" style="347" customWidth="1"/>
    <col min="9513" max="9513" width="4.85546875" style="347" customWidth="1"/>
    <col min="9514" max="9514" width="3.5703125" style="347" customWidth="1"/>
    <col min="9515" max="9515" width="4.42578125" style="347" customWidth="1"/>
    <col min="9516" max="9728" width="11.5703125" style="347"/>
    <col min="9729" max="9729" width="1.85546875" style="347" customWidth="1"/>
    <col min="9730" max="9730" width="32" style="347" customWidth="1"/>
    <col min="9731" max="9731" width="8" style="347" customWidth="1"/>
    <col min="9732" max="9732" width="8.42578125" style="347" customWidth="1"/>
    <col min="9733" max="9735" width="4.5703125" style="347" customWidth="1"/>
    <col min="9736" max="9736" width="7.140625" style="347" customWidth="1"/>
    <col min="9737" max="9737" width="7.42578125" style="347" customWidth="1"/>
    <col min="9738" max="9738" width="7.85546875" style="347" customWidth="1"/>
    <col min="9739" max="9739" width="8.42578125" style="347" customWidth="1"/>
    <col min="9740" max="9740" width="4.5703125" style="347" customWidth="1"/>
    <col min="9741" max="9741" width="7.85546875" style="347" customWidth="1"/>
    <col min="9742" max="9742" width="7.42578125" style="347" customWidth="1"/>
    <col min="9743" max="9743" width="8.140625" style="347" customWidth="1"/>
    <col min="9744" max="9744" width="7.85546875" style="347" customWidth="1"/>
    <col min="9745" max="9745" width="4.5703125" style="347" customWidth="1"/>
    <col min="9746" max="9746" width="5.5703125" style="347" customWidth="1"/>
    <col min="9747" max="9747" width="9.140625" style="347" customWidth="1"/>
    <col min="9748" max="9748" width="7" style="347" customWidth="1"/>
    <col min="9749" max="9749" width="8.42578125" style="347" customWidth="1"/>
    <col min="9750" max="9750" width="9" style="347" customWidth="1"/>
    <col min="9751" max="9753" width="4.5703125" style="347" customWidth="1"/>
    <col min="9754" max="9754" width="7.140625" style="347" customWidth="1"/>
    <col min="9755" max="9755" width="8.5703125" style="347" customWidth="1"/>
    <col min="9756" max="9759" width="4.5703125" style="347" customWidth="1"/>
    <col min="9760" max="9761" width="11.5703125" style="347"/>
    <col min="9762" max="9762" width="7.140625" style="347" customWidth="1"/>
    <col min="9763" max="9763" width="7.42578125" style="347" customWidth="1"/>
    <col min="9764" max="9764" width="6.5703125" style="347" customWidth="1"/>
    <col min="9765" max="9765" width="8.140625" style="347" customWidth="1"/>
    <col min="9766" max="9766" width="9.140625" style="347" customWidth="1"/>
    <col min="9767" max="9767" width="11.5703125" style="347"/>
    <col min="9768" max="9768" width="4.42578125" style="347" customWidth="1"/>
    <col min="9769" max="9769" width="4.85546875" style="347" customWidth="1"/>
    <col min="9770" max="9770" width="3.5703125" style="347" customWidth="1"/>
    <col min="9771" max="9771" width="4.42578125" style="347" customWidth="1"/>
    <col min="9772" max="9984" width="11.5703125" style="347"/>
    <col min="9985" max="9985" width="1.85546875" style="347" customWidth="1"/>
    <col min="9986" max="9986" width="32" style="347" customWidth="1"/>
    <col min="9987" max="9987" width="8" style="347" customWidth="1"/>
    <col min="9988" max="9988" width="8.42578125" style="347" customWidth="1"/>
    <col min="9989" max="9991" width="4.5703125" style="347" customWidth="1"/>
    <col min="9992" max="9992" width="7.140625" style="347" customWidth="1"/>
    <col min="9993" max="9993" width="7.42578125" style="347" customWidth="1"/>
    <col min="9994" max="9994" width="7.85546875" style="347" customWidth="1"/>
    <col min="9995" max="9995" width="8.42578125" style="347" customWidth="1"/>
    <col min="9996" max="9996" width="4.5703125" style="347" customWidth="1"/>
    <col min="9997" max="9997" width="7.85546875" style="347" customWidth="1"/>
    <col min="9998" max="9998" width="7.42578125" style="347" customWidth="1"/>
    <col min="9999" max="9999" width="8.140625" style="347" customWidth="1"/>
    <col min="10000" max="10000" width="7.85546875" style="347" customWidth="1"/>
    <col min="10001" max="10001" width="4.5703125" style="347" customWidth="1"/>
    <col min="10002" max="10002" width="5.5703125" style="347" customWidth="1"/>
    <col min="10003" max="10003" width="9.140625" style="347" customWidth="1"/>
    <col min="10004" max="10004" width="7" style="347" customWidth="1"/>
    <col min="10005" max="10005" width="8.42578125" style="347" customWidth="1"/>
    <col min="10006" max="10006" width="9" style="347" customWidth="1"/>
    <col min="10007" max="10009" width="4.5703125" style="347" customWidth="1"/>
    <col min="10010" max="10010" width="7.140625" style="347" customWidth="1"/>
    <col min="10011" max="10011" width="8.5703125" style="347" customWidth="1"/>
    <col min="10012" max="10015" width="4.5703125" style="347" customWidth="1"/>
    <col min="10016" max="10017" width="11.5703125" style="347"/>
    <col min="10018" max="10018" width="7.140625" style="347" customWidth="1"/>
    <col min="10019" max="10019" width="7.42578125" style="347" customWidth="1"/>
    <col min="10020" max="10020" width="6.5703125" style="347" customWidth="1"/>
    <col min="10021" max="10021" width="8.140625" style="347" customWidth="1"/>
    <col min="10022" max="10022" width="9.140625" style="347" customWidth="1"/>
    <col min="10023" max="10023" width="11.5703125" style="347"/>
    <col min="10024" max="10024" width="4.42578125" style="347" customWidth="1"/>
    <col min="10025" max="10025" width="4.85546875" style="347" customWidth="1"/>
    <col min="10026" max="10026" width="3.5703125" style="347" customWidth="1"/>
    <col min="10027" max="10027" width="4.42578125" style="347" customWidth="1"/>
    <col min="10028" max="10240" width="11.5703125" style="347"/>
    <col min="10241" max="10241" width="1.85546875" style="347" customWidth="1"/>
    <col min="10242" max="10242" width="32" style="347" customWidth="1"/>
    <col min="10243" max="10243" width="8" style="347" customWidth="1"/>
    <col min="10244" max="10244" width="8.42578125" style="347" customWidth="1"/>
    <col min="10245" max="10247" width="4.5703125" style="347" customWidth="1"/>
    <col min="10248" max="10248" width="7.140625" style="347" customWidth="1"/>
    <col min="10249" max="10249" width="7.42578125" style="347" customWidth="1"/>
    <col min="10250" max="10250" width="7.85546875" style="347" customWidth="1"/>
    <col min="10251" max="10251" width="8.42578125" style="347" customWidth="1"/>
    <col min="10252" max="10252" width="4.5703125" style="347" customWidth="1"/>
    <col min="10253" max="10253" width="7.85546875" style="347" customWidth="1"/>
    <col min="10254" max="10254" width="7.42578125" style="347" customWidth="1"/>
    <col min="10255" max="10255" width="8.140625" style="347" customWidth="1"/>
    <col min="10256" max="10256" width="7.85546875" style="347" customWidth="1"/>
    <col min="10257" max="10257" width="4.5703125" style="347" customWidth="1"/>
    <col min="10258" max="10258" width="5.5703125" style="347" customWidth="1"/>
    <col min="10259" max="10259" width="9.140625" style="347" customWidth="1"/>
    <col min="10260" max="10260" width="7" style="347" customWidth="1"/>
    <col min="10261" max="10261" width="8.42578125" style="347" customWidth="1"/>
    <col min="10262" max="10262" width="9" style="347" customWidth="1"/>
    <col min="10263" max="10265" width="4.5703125" style="347" customWidth="1"/>
    <col min="10266" max="10266" width="7.140625" style="347" customWidth="1"/>
    <col min="10267" max="10267" width="8.5703125" style="347" customWidth="1"/>
    <col min="10268" max="10271" width="4.5703125" style="347" customWidth="1"/>
    <col min="10272" max="10273" width="11.5703125" style="347"/>
    <col min="10274" max="10274" width="7.140625" style="347" customWidth="1"/>
    <col min="10275" max="10275" width="7.42578125" style="347" customWidth="1"/>
    <col min="10276" max="10276" width="6.5703125" style="347" customWidth="1"/>
    <col min="10277" max="10277" width="8.140625" style="347" customWidth="1"/>
    <col min="10278" max="10278" width="9.140625" style="347" customWidth="1"/>
    <col min="10279" max="10279" width="11.5703125" style="347"/>
    <col min="10280" max="10280" width="4.42578125" style="347" customWidth="1"/>
    <col min="10281" max="10281" width="4.85546875" style="347" customWidth="1"/>
    <col min="10282" max="10282" width="3.5703125" style="347" customWidth="1"/>
    <col min="10283" max="10283" width="4.42578125" style="347" customWidth="1"/>
    <col min="10284" max="10496" width="11.5703125" style="347"/>
    <col min="10497" max="10497" width="1.85546875" style="347" customWidth="1"/>
    <col min="10498" max="10498" width="32" style="347" customWidth="1"/>
    <col min="10499" max="10499" width="8" style="347" customWidth="1"/>
    <col min="10500" max="10500" width="8.42578125" style="347" customWidth="1"/>
    <col min="10501" max="10503" width="4.5703125" style="347" customWidth="1"/>
    <col min="10504" max="10504" width="7.140625" style="347" customWidth="1"/>
    <col min="10505" max="10505" width="7.42578125" style="347" customWidth="1"/>
    <col min="10506" max="10506" width="7.85546875" style="347" customWidth="1"/>
    <col min="10507" max="10507" width="8.42578125" style="347" customWidth="1"/>
    <col min="10508" max="10508" width="4.5703125" style="347" customWidth="1"/>
    <col min="10509" max="10509" width="7.85546875" style="347" customWidth="1"/>
    <col min="10510" max="10510" width="7.42578125" style="347" customWidth="1"/>
    <col min="10511" max="10511" width="8.140625" style="347" customWidth="1"/>
    <col min="10512" max="10512" width="7.85546875" style="347" customWidth="1"/>
    <col min="10513" max="10513" width="4.5703125" style="347" customWidth="1"/>
    <col min="10514" max="10514" width="5.5703125" style="347" customWidth="1"/>
    <col min="10515" max="10515" width="9.140625" style="347" customWidth="1"/>
    <col min="10516" max="10516" width="7" style="347" customWidth="1"/>
    <col min="10517" max="10517" width="8.42578125" style="347" customWidth="1"/>
    <col min="10518" max="10518" width="9" style="347" customWidth="1"/>
    <col min="10519" max="10521" width="4.5703125" style="347" customWidth="1"/>
    <col min="10522" max="10522" width="7.140625" style="347" customWidth="1"/>
    <col min="10523" max="10523" width="8.5703125" style="347" customWidth="1"/>
    <col min="10524" max="10527" width="4.5703125" style="347" customWidth="1"/>
    <col min="10528" max="10529" width="11.5703125" style="347"/>
    <col min="10530" max="10530" width="7.140625" style="347" customWidth="1"/>
    <col min="10531" max="10531" width="7.42578125" style="347" customWidth="1"/>
    <col min="10532" max="10532" width="6.5703125" style="347" customWidth="1"/>
    <col min="10533" max="10533" width="8.140625" style="347" customWidth="1"/>
    <col min="10534" max="10534" width="9.140625" style="347" customWidth="1"/>
    <col min="10535" max="10535" width="11.5703125" style="347"/>
    <col min="10536" max="10536" width="4.42578125" style="347" customWidth="1"/>
    <col min="10537" max="10537" width="4.85546875" style="347" customWidth="1"/>
    <col min="10538" max="10538" width="3.5703125" style="347" customWidth="1"/>
    <col min="10539" max="10539" width="4.42578125" style="347" customWidth="1"/>
    <col min="10540" max="10752" width="11.5703125" style="347"/>
    <col min="10753" max="10753" width="1.85546875" style="347" customWidth="1"/>
    <col min="10754" max="10754" width="32" style="347" customWidth="1"/>
    <col min="10755" max="10755" width="8" style="347" customWidth="1"/>
    <col min="10756" max="10756" width="8.42578125" style="347" customWidth="1"/>
    <col min="10757" max="10759" width="4.5703125" style="347" customWidth="1"/>
    <col min="10760" max="10760" width="7.140625" style="347" customWidth="1"/>
    <col min="10761" max="10761" width="7.42578125" style="347" customWidth="1"/>
    <col min="10762" max="10762" width="7.85546875" style="347" customWidth="1"/>
    <col min="10763" max="10763" width="8.42578125" style="347" customWidth="1"/>
    <col min="10764" max="10764" width="4.5703125" style="347" customWidth="1"/>
    <col min="10765" max="10765" width="7.85546875" style="347" customWidth="1"/>
    <col min="10766" max="10766" width="7.42578125" style="347" customWidth="1"/>
    <col min="10767" max="10767" width="8.140625" style="347" customWidth="1"/>
    <col min="10768" max="10768" width="7.85546875" style="347" customWidth="1"/>
    <col min="10769" max="10769" width="4.5703125" style="347" customWidth="1"/>
    <col min="10770" max="10770" width="5.5703125" style="347" customWidth="1"/>
    <col min="10771" max="10771" width="9.140625" style="347" customWidth="1"/>
    <col min="10772" max="10772" width="7" style="347" customWidth="1"/>
    <col min="10773" max="10773" width="8.42578125" style="347" customWidth="1"/>
    <col min="10774" max="10774" width="9" style="347" customWidth="1"/>
    <col min="10775" max="10777" width="4.5703125" style="347" customWidth="1"/>
    <col min="10778" max="10778" width="7.140625" style="347" customWidth="1"/>
    <col min="10779" max="10779" width="8.5703125" style="347" customWidth="1"/>
    <col min="10780" max="10783" width="4.5703125" style="347" customWidth="1"/>
    <col min="10784" max="10785" width="11.5703125" style="347"/>
    <col min="10786" max="10786" width="7.140625" style="347" customWidth="1"/>
    <col min="10787" max="10787" width="7.42578125" style="347" customWidth="1"/>
    <col min="10788" max="10788" width="6.5703125" style="347" customWidth="1"/>
    <col min="10789" max="10789" width="8.140625" style="347" customWidth="1"/>
    <col min="10790" max="10790" width="9.140625" style="347" customWidth="1"/>
    <col min="10791" max="10791" width="11.5703125" style="347"/>
    <col min="10792" max="10792" width="4.42578125" style="347" customWidth="1"/>
    <col min="10793" max="10793" width="4.85546875" style="347" customWidth="1"/>
    <col min="10794" max="10794" width="3.5703125" style="347" customWidth="1"/>
    <col min="10795" max="10795" width="4.42578125" style="347" customWidth="1"/>
    <col min="10796" max="11008" width="11.5703125" style="347"/>
    <col min="11009" max="11009" width="1.85546875" style="347" customWidth="1"/>
    <col min="11010" max="11010" width="32" style="347" customWidth="1"/>
    <col min="11011" max="11011" width="8" style="347" customWidth="1"/>
    <col min="11012" max="11012" width="8.42578125" style="347" customWidth="1"/>
    <col min="11013" max="11015" width="4.5703125" style="347" customWidth="1"/>
    <col min="11016" max="11016" width="7.140625" style="347" customWidth="1"/>
    <col min="11017" max="11017" width="7.42578125" style="347" customWidth="1"/>
    <col min="11018" max="11018" width="7.85546875" style="347" customWidth="1"/>
    <col min="11019" max="11019" width="8.42578125" style="347" customWidth="1"/>
    <col min="11020" max="11020" width="4.5703125" style="347" customWidth="1"/>
    <col min="11021" max="11021" width="7.85546875" style="347" customWidth="1"/>
    <col min="11022" max="11022" width="7.42578125" style="347" customWidth="1"/>
    <col min="11023" max="11023" width="8.140625" style="347" customWidth="1"/>
    <col min="11024" max="11024" width="7.85546875" style="347" customWidth="1"/>
    <col min="11025" max="11025" width="4.5703125" style="347" customWidth="1"/>
    <col min="11026" max="11026" width="5.5703125" style="347" customWidth="1"/>
    <col min="11027" max="11027" width="9.140625" style="347" customWidth="1"/>
    <col min="11028" max="11028" width="7" style="347" customWidth="1"/>
    <col min="11029" max="11029" width="8.42578125" style="347" customWidth="1"/>
    <col min="11030" max="11030" width="9" style="347" customWidth="1"/>
    <col min="11031" max="11033" width="4.5703125" style="347" customWidth="1"/>
    <col min="11034" max="11034" width="7.140625" style="347" customWidth="1"/>
    <col min="11035" max="11035" width="8.5703125" style="347" customWidth="1"/>
    <col min="11036" max="11039" width="4.5703125" style="347" customWidth="1"/>
    <col min="11040" max="11041" width="11.5703125" style="347"/>
    <col min="11042" max="11042" width="7.140625" style="347" customWidth="1"/>
    <col min="11043" max="11043" width="7.42578125" style="347" customWidth="1"/>
    <col min="11044" max="11044" width="6.5703125" style="347" customWidth="1"/>
    <col min="11045" max="11045" width="8.140625" style="347" customWidth="1"/>
    <col min="11046" max="11046" width="9.140625" style="347" customWidth="1"/>
    <col min="11047" max="11047" width="11.5703125" style="347"/>
    <col min="11048" max="11048" width="4.42578125" style="347" customWidth="1"/>
    <col min="11049" max="11049" width="4.85546875" style="347" customWidth="1"/>
    <col min="11050" max="11050" width="3.5703125" style="347" customWidth="1"/>
    <col min="11051" max="11051" width="4.42578125" style="347" customWidth="1"/>
    <col min="11052" max="11264" width="11.5703125" style="347"/>
    <col min="11265" max="11265" width="1.85546875" style="347" customWidth="1"/>
    <col min="11266" max="11266" width="32" style="347" customWidth="1"/>
    <col min="11267" max="11267" width="8" style="347" customWidth="1"/>
    <col min="11268" max="11268" width="8.42578125" style="347" customWidth="1"/>
    <col min="11269" max="11271" width="4.5703125" style="347" customWidth="1"/>
    <col min="11272" max="11272" width="7.140625" style="347" customWidth="1"/>
    <col min="11273" max="11273" width="7.42578125" style="347" customWidth="1"/>
    <col min="11274" max="11274" width="7.85546875" style="347" customWidth="1"/>
    <col min="11275" max="11275" width="8.42578125" style="347" customWidth="1"/>
    <col min="11276" max="11276" width="4.5703125" style="347" customWidth="1"/>
    <col min="11277" max="11277" width="7.85546875" style="347" customWidth="1"/>
    <col min="11278" max="11278" width="7.42578125" style="347" customWidth="1"/>
    <col min="11279" max="11279" width="8.140625" style="347" customWidth="1"/>
    <col min="11280" max="11280" width="7.85546875" style="347" customWidth="1"/>
    <col min="11281" max="11281" width="4.5703125" style="347" customWidth="1"/>
    <col min="11282" max="11282" width="5.5703125" style="347" customWidth="1"/>
    <col min="11283" max="11283" width="9.140625" style="347" customWidth="1"/>
    <col min="11284" max="11284" width="7" style="347" customWidth="1"/>
    <col min="11285" max="11285" width="8.42578125" style="347" customWidth="1"/>
    <col min="11286" max="11286" width="9" style="347" customWidth="1"/>
    <col min="11287" max="11289" width="4.5703125" style="347" customWidth="1"/>
    <col min="11290" max="11290" width="7.140625" style="347" customWidth="1"/>
    <col min="11291" max="11291" width="8.5703125" style="347" customWidth="1"/>
    <col min="11292" max="11295" width="4.5703125" style="347" customWidth="1"/>
    <col min="11296" max="11297" width="11.5703125" style="347"/>
    <col min="11298" max="11298" width="7.140625" style="347" customWidth="1"/>
    <col min="11299" max="11299" width="7.42578125" style="347" customWidth="1"/>
    <col min="11300" max="11300" width="6.5703125" style="347" customWidth="1"/>
    <col min="11301" max="11301" width="8.140625" style="347" customWidth="1"/>
    <col min="11302" max="11302" width="9.140625" style="347" customWidth="1"/>
    <col min="11303" max="11303" width="11.5703125" style="347"/>
    <col min="11304" max="11304" width="4.42578125" style="347" customWidth="1"/>
    <col min="11305" max="11305" width="4.85546875" style="347" customWidth="1"/>
    <col min="11306" max="11306" width="3.5703125" style="347" customWidth="1"/>
    <col min="11307" max="11307" width="4.42578125" style="347" customWidth="1"/>
    <col min="11308" max="11520" width="11.5703125" style="347"/>
    <col min="11521" max="11521" width="1.85546875" style="347" customWidth="1"/>
    <col min="11522" max="11522" width="32" style="347" customWidth="1"/>
    <col min="11523" max="11523" width="8" style="347" customWidth="1"/>
    <col min="11524" max="11524" width="8.42578125" style="347" customWidth="1"/>
    <col min="11525" max="11527" width="4.5703125" style="347" customWidth="1"/>
    <col min="11528" max="11528" width="7.140625" style="347" customWidth="1"/>
    <col min="11529" max="11529" width="7.42578125" style="347" customWidth="1"/>
    <col min="11530" max="11530" width="7.85546875" style="347" customWidth="1"/>
    <col min="11531" max="11531" width="8.42578125" style="347" customWidth="1"/>
    <col min="11532" max="11532" width="4.5703125" style="347" customWidth="1"/>
    <col min="11533" max="11533" width="7.85546875" style="347" customWidth="1"/>
    <col min="11534" max="11534" width="7.42578125" style="347" customWidth="1"/>
    <col min="11535" max="11535" width="8.140625" style="347" customWidth="1"/>
    <col min="11536" max="11536" width="7.85546875" style="347" customWidth="1"/>
    <col min="11537" max="11537" width="4.5703125" style="347" customWidth="1"/>
    <col min="11538" max="11538" width="5.5703125" style="347" customWidth="1"/>
    <col min="11539" max="11539" width="9.140625" style="347" customWidth="1"/>
    <col min="11540" max="11540" width="7" style="347" customWidth="1"/>
    <col min="11541" max="11541" width="8.42578125" style="347" customWidth="1"/>
    <col min="11542" max="11542" width="9" style="347" customWidth="1"/>
    <col min="11543" max="11545" width="4.5703125" style="347" customWidth="1"/>
    <col min="11546" max="11546" width="7.140625" style="347" customWidth="1"/>
    <col min="11547" max="11547" width="8.5703125" style="347" customWidth="1"/>
    <col min="11548" max="11551" width="4.5703125" style="347" customWidth="1"/>
    <col min="11552" max="11553" width="11.5703125" style="347"/>
    <col min="11554" max="11554" width="7.140625" style="347" customWidth="1"/>
    <col min="11555" max="11555" width="7.42578125" style="347" customWidth="1"/>
    <col min="11556" max="11556" width="6.5703125" style="347" customWidth="1"/>
    <col min="11557" max="11557" width="8.140625" style="347" customWidth="1"/>
    <col min="11558" max="11558" width="9.140625" style="347" customWidth="1"/>
    <col min="11559" max="11559" width="11.5703125" style="347"/>
    <col min="11560" max="11560" width="4.42578125" style="347" customWidth="1"/>
    <col min="11561" max="11561" width="4.85546875" style="347" customWidth="1"/>
    <col min="11562" max="11562" width="3.5703125" style="347" customWidth="1"/>
    <col min="11563" max="11563" width="4.42578125" style="347" customWidth="1"/>
    <col min="11564" max="11776" width="11.5703125" style="347"/>
    <col min="11777" max="11777" width="1.85546875" style="347" customWidth="1"/>
    <col min="11778" max="11778" width="32" style="347" customWidth="1"/>
    <col min="11779" max="11779" width="8" style="347" customWidth="1"/>
    <col min="11780" max="11780" width="8.42578125" style="347" customWidth="1"/>
    <col min="11781" max="11783" width="4.5703125" style="347" customWidth="1"/>
    <col min="11784" max="11784" width="7.140625" style="347" customWidth="1"/>
    <col min="11785" max="11785" width="7.42578125" style="347" customWidth="1"/>
    <col min="11786" max="11786" width="7.85546875" style="347" customWidth="1"/>
    <col min="11787" max="11787" width="8.42578125" style="347" customWidth="1"/>
    <col min="11788" max="11788" width="4.5703125" style="347" customWidth="1"/>
    <col min="11789" max="11789" width="7.85546875" style="347" customWidth="1"/>
    <col min="11790" max="11790" width="7.42578125" style="347" customWidth="1"/>
    <col min="11791" max="11791" width="8.140625" style="347" customWidth="1"/>
    <col min="11792" max="11792" width="7.85546875" style="347" customWidth="1"/>
    <col min="11793" max="11793" width="4.5703125" style="347" customWidth="1"/>
    <col min="11794" max="11794" width="5.5703125" style="347" customWidth="1"/>
    <col min="11795" max="11795" width="9.140625" style="347" customWidth="1"/>
    <col min="11796" max="11796" width="7" style="347" customWidth="1"/>
    <col min="11797" max="11797" width="8.42578125" style="347" customWidth="1"/>
    <col min="11798" max="11798" width="9" style="347" customWidth="1"/>
    <col min="11799" max="11801" width="4.5703125" style="347" customWidth="1"/>
    <col min="11802" max="11802" width="7.140625" style="347" customWidth="1"/>
    <col min="11803" max="11803" width="8.5703125" style="347" customWidth="1"/>
    <col min="11804" max="11807" width="4.5703125" style="347" customWidth="1"/>
    <col min="11808" max="11809" width="11.5703125" style="347"/>
    <col min="11810" max="11810" width="7.140625" style="347" customWidth="1"/>
    <col min="11811" max="11811" width="7.42578125" style="347" customWidth="1"/>
    <col min="11812" max="11812" width="6.5703125" style="347" customWidth="1"/>
    <col min="11813" max="11813" width="8.140625" style="347" customWidth="1"/>
    <col min="11814" max="11814" width="9.140625" style="347" customWidth="1"/>
    <col min="11815" max="11815" width="11.5703125" style="347"/>
    <col min="11816" max="11816" width="4.42578125" style="347" customWidth="1"/>
    <col min="11817" max="11817" width="4.85546875" style="347" customWidth="1"/>
    <col min="11818" max="11818" width="3.5703125" style="347" customWidth="1"/>
    <col min="11819" max="11819" width="4.42578125" style="347" customWidth="1"/>
    <col min="11820" max="12032" width="11.5703125" style="347"/>
    <col min="12033" max="12033" width="1.85546875" style="347" customWidth="1"/>
    <col min="12034" max="12034" width="32" style="347" customWidth="1"/>
    <col min="12035" max="12035" width="8" style="347" customWidth="1"/>
    <col min="12036" max="12036" width="8.42578125" style="347" customWidth="1"/>
    <col min="12037" max="12039" width="4.5703125" style="347" customWidth="1"/>
    <col min="12040" max="12040" width="7.140625" style="347" customWidth="1"/>
    <col min="12041" max="12041" width="7.42578125" style="347" customWidth="1"/>
    <col min="12042" max="12042" width="7.85546875" style="347" customWidth="1"/>
    <col min="12043" max="12043" width="8.42578125" style="347" customWidth="1"/>
    <col min="12044" max="12044" width="4.5703125" style="347" customWidth="1"/>
    <col min="12045" max="12045" width="7.85546875" style="347" customWidth="1"/>
    <col min="12046" max="12046" width="7.42578125" style="347" customWidth="1"/>
    <col min="12047" max="12047" width="8.140625" style="347" customWidth="1"/>
    <col min="12048" max="12048" width="7.85546875" style="347" customWidth="1"/>
    <col min="12049" max="12049" width="4.5703125" style="347" customWidth="1"/>
    <col min="12050" max="12050" width="5.5703125" style="347" customWidth="1"/>
    <col min="12051" max="12051" width="9.140625" style="347" customWidth="1"/>
    <col min="12052" max="12052" width="7" style="347" customWidth="1"/>
    <col min="12053" max="12053" width="8.42578125" style="347" customWidth="1"/>
    <col min="12054" max="12054" width="9" style="347" customWidth="1"/>
    <col min="12055" max="12057" width="4.5703125" style="347" customWidth="1"/>
    <col min="12058" max="12058" width="7.140625" style="347" customWidth="1"/>
    <col min="12059" max="12059" width="8.5703125" style="347" customWidth="1"/>
    <col min="12060" max="12063" width="4.5703125" style="347" customWidth="1"/>
    <col min="12064" max="12065" width="11.5703125" style="347"/>
    <col min="12066" max="12066" width="7.140625" style="347" customWidth="1"/>
    <col min="12067" max="12067" width="7.42578125" style="347" customWidth="1"/>
    <col min="12068" max="12068" width="6.5703125" style="347" customWidth="1"/>
    <col min="12069" max="12069" width="8.140625" style="347" customWidth="1"/>
    <col min="12070" max="12070" width="9.140625" style="347" customWidth="1"/>
    <col min="12071" max="12071" width="11.5703125" style="347"/>
    <col min="12072" max="12072" width="4.42578125" style="347" customWidth="1"/>
    <col min="12073" max="12073" width="4.85546875" style="347" customWidth="1"/>
    <col min="12074" max="12074" width="3.5703125" style="347" customWidth="1"/>
    <col min="12075" max="12075" width="4.42578125" style="347" customWidth="1"/>
    <col min="12076" max="12288" width="11.5703125" style="347"/>
    <col min="12289" max="12289" width="1.85546875" style="347" customWidth="1"/>
    <col min="12290" max="12290" width="32" style="347" customWidth="1"/>
    <col min="12291" max="12291" width="8" style="347" customWidth="1"/>
    <col min="12292" max="12292" width="8.42578125" style="347" customWidth="1"/>
    <col min="12293" max="12295" width="4.5703125" style="347" customWidth="1"/>
    <col min="12296" max="12296" width="7.140625" style="347" customWidth="1"/>
    <col min="12297" max="12297" width="7.42578125" style="347" customWidth="1"/>
    <col min="12298" max="12298" width="7.85546875" style="347" customWidth="1"/>
    <col min="12299" max="12299" width="8.42578125" style="347" customWidth="1"/>
    <col min="12300" max="12300" width="4.5703125" style="347" customWidth="1"/>
    <col min="12301" max="12301" width="7.85546875" style="347" customWidth="1"/>
    <col min="12302" max="12302" width="7.42578125" style="347" customWidth="1"/>
    <col min="12303" max="12303" width="8.140625" style="347" customWidth="1"/>
    <col min="12304" max="12304" width="7.85546875" style="347" customWidth="1"/>
    <col min="12305" max="12305" width="4.5703125" style="347" customWidth="1"/>
    <col min="12306" max="12306" width="5.5703125" style="347" customWidth="1"/>
    <col min="12307" max="12307" width="9.140625" style="347" customWidth="1"/>
    <col min="12308" max="12308" width="7" style="347" customWidth="1"/>
    <col min="12309" max="12309" width="8.42578125" style="347" customWidth="1"/>
    <col min="12310" max="12310" width="9" style="347" customWidth="1"/>
    <col min="12311" max="12313" width="4.5703125" style="347" customWidth="1"/>
    <col min="12314" max="12314" width="7.140625" style="347" customWidth="1"/>
    <col min="12315" max="12315" width="8.5703125" style="347" customWidth="1"/>
    <col min="12316" max="12319" width="4.5703125" style="347" customWidth="1"/>
    <col min="12320" max="12321" width="11.5703125" style="347"/>
    <col min="12322" max="12322" width="7.140625" style="347" customWidth="1"/>
    <col min="12323" max="12323" width="7.42578125" style="347" customWidth="1"/>
    <col min="12324" max="12324" width="6.5703125" style="347" customWidth="1"/>
    <col min="12325" max="12325" width="8.140625" style="347" customWidth="1"/>
    <col min="12326" max="12326" width="9.140625" style="347" customWidth="1"/>
    <col min="12327" max="12327" width="11.5703125" style="347"/>
    <col min="12328" max="12328" width="4.42578125" style="347" customWidth="1"/>
    <col min="12329" max="12329" width="4.85546875" style="347" customWidth="1"/>
    <col min="12330" max="12330" width="3.5703125" style="347" customWidth="1"/>
    <col min="12331" max="12331" width="4.42578125" style="347" customWidth="1"/>
    <col min="12332" max="12544" width="11.5703125" style="347"/>
    <col min="12545" max="12545" width="1.85546875" style="347" customWidth="1"/>
    <col min="12546" max="12546" width="32" style="347" customWidth="1"/>
    <col min="12547" max="12547" width="8" style="347" customWidth="1"/>
    <col min="12548" max="12548" width="8.42578125" style="347" customWidth="1"/>
    <col min="12549" max="12551" width="4.5703125" style="347" customWidth="1"/>
    <col min="12552" max="12552" width="7.140625" style="347" customWidth="1"/>
    <col min="12553" max="12553" width="7.42578125" style="347" customWidth="1"/>
    <col min="12554" max="12554" width="7.85546875" style="347" customWidth="1"/>
    <col min="12555" max="12555" width="8.42578125" style="347" customWidth="1"/>
    <col min="12556" max="12556" width="4.5703125" style="347" customWidth="1"/>
    <col min="12557" max="12557" width="7.85546875" style="347" customWidth="1"/>
    <col min="12558" max="12558" width="7.42578125" style="347" customWidth="1"/>
    <col min="12559" max="12559" width="8.140625" style="347" customWidth="1"/>
    <col min="12560" max="12560" width="7.85546875" style="347" customWidth="1"/>
    <col min="12561" max="12561" width="4.5703125" style="347" customWidth="1"/>
    <col min="12562" max="12562" width="5.5703125" style="347" customWidth="1"/>
    <col min="12563" max="12563" width="9.140625" style="347" customWidth="1"/>
    <col min="12564" max="12564" width="7" style="347" customWidth="1"/>
    <col min="12565" max="12565" width="8.42578125" style="347" customWidth="1"/>
    <col min="12566" max="12566" width="9" style="347" customWidth="1"/>
    <col min="12567" max="12569" width="4.5703125" style="347" customWidth="1"/>
    <col min="12570" max="12570" width="7.140625" style="347" customWidth="1"/>
    <col min="12571" max="12571" width="8.5703125" style="347" customWidth="1"/>
    <col min="12572" max="12575" width="4.5703125" style="347" customWidth="1"/>
    <col min="12576" max="12577" width="11.5703125" style="347"/>
    <col min="12578" max="12578" width="7.140625" style="347" customWidth="1"/>
    <col min="12579" max="12579" width="7.42578125" style="347" customWidth="1"/>
    <col min="12580" max="12580" width="6.5703125" style="347" customWidth="1"/>
    <col min="12581" max="12581" width="8.140625" style="347" customWidth="1"/>
    <col min="12582" max="12582" width="9.140625" style="347" customWidth="1"/>
    <col min="12583" max="12583" width="11.5703125" style="347"/>
    <col min="12584" max="12584" width="4.42578125" style="347" customWidth="1"/>
    <col min="12585" max="12585" width="4.85546875" style="347" customWidth="1"/>
    <col min="12586" max="12586" width="3.5703125" style="347" customWidth="1"/>
    <col min="12587" max="12587" width="4.42578125" style="347" customWidth="1"/>
    <col min="12588" max="12800" width="11.5703125" style="347"/>
    <col min="12801" max="12801" width="1.85546875" style="347" customWidth="1"/>
    <col min="12802" max="12802" width="32" style="347" customWidth="1"/>
    <col min="12803" max="12803" width="8" style="347" customWidth="1"/>
    <col min="12804" max="12804" width="8.42578125" style="347" customWidth="1"/>
    <col min="12805" max="12807" width="4.5703125" style="347" customWidth="1"/>
    <col min="12808" max="12808" width="7.140625" style="347" customWidth="1"/>
    <col min="12809" max="12809" width="7.42578125" style="347" customWidth="1"/>
    <col min="12810" max="12810" width="7.85546875" style="347" customWidth="1"/>
    <col min="12811" max="12811" width="8.42578125" style="347" customWidth="1"/>
    <col min="12812" max="12812" width="4.5703125" style="347" customWidth="1"/>
    <col min="12813" max="12813" width="7.85546875" style="347" customWidth="1"/>
    <col min="12814" max="12814" width="7.42578125" style="347" customWidth="1"/>
    <col min="12815" max="12815" width="8.140625" style="347" customWidth="1"/>
    <col min="12816" max="12816" width="7.85546875" style="347" customWidth="1"/>
    <col min="12817" max="12817" width="4.5703125" style="347" customWidth="1"/>
    <col min="12818" max="12818" width="5.5703125" style="347" customWidth="1"/>
    <col min="12819" max="12819" width="9.140625" style="347" customWidth="1"/>
    <col min="12820" max="12820" width="7" style="347" customWidth="1"/>
    <col min="12821" max="12821" width="8.42578125" style="347" customWidth="1"/>
    <col min="12822" max="12822" width="9" style="347" customWidth="1"/>
    <col min="12823" max="12825" width="4.5703125" style="347" customWidth="1"/>
    <col min="12826" max="12826" width="7.140625" style="347" customWidth="1"/>
    <col min="12827" max="12827" width="8.5703125" style="347" customWidth="1"/>
    <col min="12828" max="12831" width="4.5703125" style="347" customWidth="1"/>
    <col min="12832" max="12833" width="11.5703125" style="347"/>
    <col min="12834" max="12834" width="7.140625" style="347" customWidth="1"/>
    <col min="12835" max="12835" width="7.42578125" style="347" customWidth="1"/>
    <col min="12836" max="12836" width="6.5703125" style="347" customWidth="1"/>
    <col min="12837" max="12837" width="8.140625" style="347" customWidth="1"/>
    <col min="12838" max="12838" width="9.140625" style="347" customWidth="1"/>
    <col min="12839" max="12839" width="11.5703125" style="347"/>
    <col min="12840" max="12840" width="4.42578125" style="347" customWidth="1"/>
    <col min="12841" max="12841" width="4.85546875" style="347" customWidth="1"/>
    <col min="12842" max="12842" width="3.5703125" style="347" customWidth="1"/>
    <col min="12843" max="12843" width="4.42578125" style="347" customWidth="1"/>
    <col min="12844" max="13056" width="11.5703125" style="347"/>
    <col min="13057" max="13057" width="1.85546875" style="347" customWidth="1"/>
    <col min="13058" max="13058" width="32" style="347" customWidth="1"/>
    <col min="13059" max="13059" width="8" style="347" customWidth="1"/>
    <col min="13060" max="13060" width="8.42578125" style="347" customWidth="1"/>
    <col min="13061" max="13063" width="4.5703125" style="347" customWidth="1"/>
    <col min="13064" max="13064" width="7.140625" style="347" customWidth="1"/>
    <col min="13065" max="13065" width="7.42578125" style="347" customWidth="1"/>
    <col min="13066" max="13066" width="7.85546875" style="347" customWidth="1"/>
    <col min="13067" max="13067" width="8.42578125" style="347" customWidth="1"/>
    <col min="13068" max="13068" width="4.5703125" style="347" customWidth="1"/>
    <col min="13069" max="13069" width="7.85546875" style="347" customWidth="1"/>
    <col min="13070" max="13070" width="7.42578125" style="347" customWidth="1"/>
    <col min="13071" max="13071" width="8.140625" style="347" customWidth="1"/>
    <col min="13072" max="13072" width="7.85546875" style="347" customWidth="1"/>
    <col min="13073" max="13073" width="4.5703125" style="347" customWidth="1"/>
    <col min="13074" max="13074" width="5.5703125" style="347" customWidth="1"/>
    <col min="13075" max="13075" width="9.140625" style="347" customWidth="1"/>
    <col min="13076" max="13076" width="7" style="347" customWidth="1"/>
    <col min="13077" max="13077" width="8.42578125" style="347" customWidth="1"/>
    <col min="13078" max="13078" width="9" style="347" customWidth="1"/>
    <col min="13079" max="13081" width="4.5703125" style="347" customWidth="1"/>
    <col min="13082" max="13082" width="7.140625" style="347" customWidth="1"/>
    <col min="13083" max="13083" width="8.5703125" style="347" customWidth="1"/>
    <col min="13084" max="13087" width="4.5703125" style="347" customWidth="1"/>
    <col min="13088" max="13089" width="11.5703125" style="347"/>
    <col min="13090" max="13090" width="7.140625" style="347" customWidth="1"/>
    <col min="13091" max="13091" width="7.42578125" style="347" customWidth="1"/>
    <col min="13092" max="13092" width="6.5703125" style="347" customWidth="1"/>
    <col min="13093" max="13093" width="8.140625" style="347" customWidth="1"/>
    <col min="13094" max="13094" width="9.140625" style="347" customWidth="1"/>
    <col min="13095" max="13095" width="11.5703125" style="347"/>
    <col min="13096" max="13096" width="4.42578125" style="347" customWidth="1"/>
    <col min="13097" max="13097" width="4.85546875" style="347" customWidth="1"/>
    <col min="13098" max="13098" width="3.5703125" style="347" customWidth="1"/>
    <col min="13099" max="13099" width="4.42578125" style="347" customWidth="1"/>
    <col min="13100" max="13312" width="11.5703125" style="347"/>
    <col min="13313" max="13313" width="1.85546875" style="347" customWidth="1"/>
    <col min="13314" max="13314" width="32" style="347" customWidth="1"/>
    <col min="13315" max="13315" width="8" style="347" customWidth="1"/>
    <col min="13316" max="13316" width="8.42578125" style="347" customWidth="1"/>
    <col min="13317" max="13319" width="4.5703125" style="347" customWidth="1"/>
    <col min="13320" max="13320" width="7.140625" style="347" customWidth="1"/>
    <col min="13321" max="13321" width="7.42578125" style="347" customWidth="1"/>
    <col min="13322" max="13322" width="7.85546875" style="347" customWidth="1"/>
    <col min="13323" max="13323" width="8.42578125" style="347" customWidth="1"/>
    <col min="13324" max="13324" width="4.5703125" style="347" customWidth="1"/>
    <col min="13325" max="13325" width="7.85546875" style="347" customWidth="1"/>
    <col min="13326" max="13326" width="7.42578125" style="347" customWidth="1"/>
    <col min="13327" max="13327" width="8.140625" style="347" customWidth="1"/>
    <col min="13328" max="13328" width="7.85546875" style="347" customWidth="1"/>
    <col min="13329" max="13329" width="4.5703125" style="347" customWidth="1"/>
    <col min="13330" max="13330" width="5.5703125" style="347" customWidth="1"/>
    <col min="13331" max="13331" width="9.140625" style="347" customWidth="1"/>
    <col min="13332" max="13332" width="7" style="347" customWidth="1"/>
    <col min="13333" max="13333" width="8.42578125" style="347" customWidth="1"/>
    <col min="13334" max="13334" width="9" style="347" customWidth="1"/>
    <col min="13335" max="13337" width="4.5703125" style="347" customWidth="1"/>
    <col min="13338" max="13338" width="7.140625" style="347" customWidth="1"/>
    <col min="13339" max="13339" width="8.5703125" style="347" customWidth="1"/>
    <col min="13340" max="13343" width="4.5703125" style="347" customWidth="1"/>
    <col min="13344" max="13345" width="11.5703125" style="347"/>
    <col min="13346" max="13346" width="7.140625" style="347" customWidth="1"/>
    <col min="13347" max="13347" width="7.42578125" style="347" customWidth="1"/>
    <col min="13348" max="13348" width="6.5703125" style="347" customWidth="1"/>
    <col min="13349" max="13349" width="8.140625" style="347" customWidth="1"/>
    <col min="13350" max="13350" width="9.140625" style="347" customWidth="1"/>
    <col min="13351" max="13351" width="11.5703125" style="347"/>
    <col min="13352" max="13352" width="4.42578125" style="347" customWidth="1"/>
    <col min="13353" max="13353" width="4.85546875" style="347" customWidth="1"/>
    <col min="13354" max="13354" width="3.5703125" style="347" customWidth="1"/>
    <col min="13355" max="13355" width="4.42578125" style="347" customWidth="1"/>
    <col min="13356" max="13568" width="11.5703125" style="347"/>
    <col min="13569" max="13569" width="1.85546875" style="347" customWidth="1"/>
    <col min="13570" max="13570" width="32" style="347" customWidth="1"/>
    <col min="13571" max="13571" width="8" style="347" customWidth="1"/>
    <col min="13572" max="13572" width="8.42578125" style="347" customWidth="1"/>
    <col min="13573" max="13575" width="4.5703125" style="347" customWidth="1"/>
    <col min="13576" max="13576" width="7.140625" style="347" customWidth="1"/>
    <col min="13577" max="13577" width="7.42578125" style="347" customWidth="1"/>
    <col min="13578" max="13578" width="7.85546875" style="347" customWidth="1"/>
    <col min="13579" max="13579" width="8.42578125" style="347" customWidth="1"/>
    <col min="13580" max="13580" width="4.5703125" style="347" customWidth="1"/>
    <col min="13581" max="13581" width="7.85546875" style="347" customWidth="1"/>
    <col min="13582" max="13582" width="7.42578125" style="347" customWidth="1"/>
    <col min="13583" max="13583" width="8.140625" style="347" customWidth="1"/>
    <col min="13584" max="13584" width="7.85546875" style="347" customWidth="1"/>
    <col min="13585" max="13585" width="4.5703125" style="347" customWidth="1"/>
    <col min="13586" max="13586" width="5.5703125" style="347" customWidth="1"/>
    <col min="13587" max="13587" width="9.140625" style="347" customWidth="1"/>
    <col min="13588" max="13588" width="7" style="347" customWidth="1"/>
    <col min="13589" max="13589" width="8.42578125" style="347" customWidth="1"/>
    <col min="13590" max="13590" width="9" style="347" customWidth="1"/>
    <col min="13591" max="13593" width="4.5703125" style="347" customWidth="1"/>
    <col min="13594" max="13594" width="7.140625" style="347" customWidth="1"/>
    <col min="13595" max="13595" width="8.5703125" style="347" customWidth="1"/>
    <col min="13596" max="13599" width="4.5703125" style="347" customWidth="1"/>
    <col min="13600" max="13601" width="11.5703125" style="347"/>
    <col min="13602" max="13602" width="7.140625" style="347" customWidth="1"/>
    <col min="13603" max="13603" width="7.42578125" style="347" customWidth="1"/>
    <col min="13604" max="13604" width="6.5703125" style="347" customWidth="1"/>
    <col min="13605" max="13605" width="8.140625" style="347" customWidth="1"/>
    <col min="13606" max="13606" width="9.140625" style="347" customWidth="1"/>
    <col min="13607" max="13607" width="11.5703125" style="347"/>
    <col min="13608" max="13608" width="4.42578125" style="347" customWidth="1"/>
    <col min="13609" max="13609" width="4.85546875" style="347" customWidth="1"/>
    <col min="13610" max="13610" width="3.5703125" style="347" customWidth="1"/>
    <col min="13611" max="13611" width="4.42578125" style="347" customWidth="1"/>
    <col min="13612" max="13824" width="11.5703125" style="347"/>
    <col min="13825" max="13825" width="1.85546875" style="347" customWidth="1"/>
    <col min="13826" max="13826" width="32" style="347" customWidth="1"/>
    <col min="13827" max="13827" width="8" style="347" customWidth="1"/>
    <col min="13828" max="13828" width="8.42578125" style="347" customWidth="1"/>
    <col min="13829" max="13831" width="4.5703125" style="347" customWidth="1"/>
    <col min="13832" max="13832" width="7.140625" style="347" customWidth="1"/>
    <col min="13833" max="13833" width="7.42578125" style="347" customWidth="1"/>
    <col min="13834" max="13834" width="7.85546875" style="347" customWidth="1"/>
    <col min="13835" max="13835" width="8.42578125" style="347" customWidth="1"/>
    <col min="13836" max="13836" width="4.5703125" style="347" customWidth="1"/>
    <col min="13837" max="13837" width="7.85546875" style="347" customWidth="1"/>
    <col min="13838" max="13838" width="7.42578125" style="347" customWidth="1"/>
    <col min="13839" max="13839" width="8.140625" style="347" customWidth="1"/>
    <col min="13840" max="13840" width="7.85546875" style="347" customWidth="1"/>
    <col min="13841" max="13841" width="4.5703125" style="347" customWidth="1"/>
    <col min="13842" max="13842" width="5.5703125" style="347" customWidth="1"/>
    <col min="13843" max="13843" width="9.140625" style="347" customWidth="1"/>
    <col min="13844" max="13844" width="7" style="347" customWidth="1"/>
    <col min="13845" max="13845" width="8.42578125" style="347" customWidth="1"/>
    <col min="13846" max="13846" width="9" style="347" customWidth="1"/>
    <col min="13847" max="13849" width="4.5703125" style="347" customWidth="1"/>
    <col min="13850" max="13850" width="7.140625" style="347" customWidth="1"/>
    <col min="13851" max="13851" width="8.5703125" style="347" customWidth="1"/>
    <col min="13852" max="13855" width="4.5703125" style="347" customWidth="1"/>
    <col min="13856" max="13857" width="11.5703125" style="347"/>
    <col min="13858" max="13858" width="7.140625" style="347" customWidth="1"/>
    <col min="13859" max="13859" width="7.42578125" style="347" customWidth="1"/>
    <col min="13860" max="13860" width="6.5703125" style="347" customWidth="1"/>
    <col min="13861" max="13861" width="8.140625" style="347" customWidth="1"/>
    <col min="13862" max="13862" width="9.140625" style="347" customWidth="1"/>
    <col min="13863" max="13863" width="11.5703125" style="347"/>
    <col min="13864" max="13864" width="4.42578125" style="347" customWidth="1"/>
    <col min="13865" max="13865" width="4.85546875" style="347" customWidth="1"/>
    <col min="13866" max="13866" width="3.5703125" style="347" customWidth="1"/>
    <col min="13867" max="13867" width="4.42578125" style="347" customWidth="1"/>
    <col min="13868" max="14080" width="11.5703125" style="347"/>
    <col min="14081" max="14081" width="1.85546875" style="347" customWidth="1"/>
    <col min="14082" max="14082" width="32" style="347" customWidth="1"/>
    <col min="14083" max="14083" width="8" style="347" customWidth="1"/>
    <col min="14084" max="14084" width="8.42578125" style="347" customWidth="1"/>
    <col min="14085" max="14087" width="4.5703125" style="347" customWidth="1"/>
    <col min="14088" max="14088" width="7.140625" style="347" customWidth="1"/>
    <col min="14089" max="14089" width="7.42578125" style="347" customWidth="1"/>
    <col min="14090" max="14090" width="7.85546875" style="347" customWidth="1"/>
    <col min="14091" max="14091" width="8.42578125" style="347" customWidth="1"/>
    <col min="14092" max="14092" width="4.5703125" style="347" customWidth="1"/>
    <col min="14093" max="14093" width="7.85546875" style="347" customWidth="1"/>
    <col min="14094" max="14094" width="7.42578125" style="347" customWidth="1"/>
    <col min="14095" max="14095" width="8.140625" style="347" customWidth="1"/>
    <col min="14096" max="14096" width="7.85546875" style="347" customWidth="1"/>
    <col min="14097" max="14097" width="4.5703125" style="347" customWidth="1"/>
    <col min="14098" max="14098" width="5.5703125" style="347" customWidth="1"/>
    <col min="14099" max="14099" width="9.140625" style="347" customWidth="1"/>
    <col min="14100" max="14100" width="7" style="347" customWidth="1"/>
    <col min="14101" max="14101" width="8.42578125" style="347" customWidth="1"/>
    <col min="14102" max="14102" width="9" style="347" customWidth="1"/>
    <col min="14103" max="14105" width="4.5703125" style="347" customWidth="1"/>
    <col min="14106" max="14106" width="7.140625" style="347" customWidth="1"/>
    <col min="14107" max="14107" width="8.5703125" style="347" customWidth="1"/>
    <col min="14108" max="14111" width="4.5703125" style="347" customWidth="1"/>
    <col min="14112" max="14113" width="11.5703125" style="347"/>
    <col min="14114" max="14114" width="7.140625" style="347" customWidth="1"/>
    <col min="14115" max="14115" width="7.42578125" style="347" customWidth="1"/>
    <col min="14116" max="14116" width="6.5703125" style="347" customWidth="1"/>
    <col min="14117" max="14117" width="8.140625" style="347" customWidth="1"/>
    <col min="14118" max="14118" width="9.140625" style="347" customWidth="1"/>
    <col min="14119" max="14119" width="11.5703125" style="347"/>
    <col min="14120" max="14120" width="4.42578125" style="347" customWidth="1"/>
    <col min="14121" max="14121" width="4.85546875" style="347" customWidth="1"/>
    <col min="14122" max="14122" width="3.5703125" style="347" customWidth="1"/>
    <col min="14123" max="14123" width="4.42578125" style="347" customWidth="1"/>
    <col min="14124" max="14336" width="11.5703125" style="347"/>
    <col min="14337" max="14337" width="1.85546875" style="347" customWidth="1"/>
    <col min="14338" max="14338" width="32" style="347" customWidth="1"/>
    <col min="14339" max="14339" width="8" style="347" customWidth="1"/>
    <col min="14340" max="14340" width="8.42578125" style="347" customWidth="1"/>
    <col min="14341" max="14343" width="4.5703125" style="347" customWidth="1"/>
    <col min="14344" max="14344" width="7.140625" style="347" customWidth="1"/>
    <col min="14345" max="14345" width="7.42578125" style="347" customWidth="1"/>
    <col min="14346" max="14346" width="7.85546875" style="347" customWidth="1"/>
    <col min="14347" max="14347" width="8.42578125" style="347" customWidth="1"/>
    <col min="14348" max="14348" width="4.5703125" style="347" customWidth="1"/>
    <col min="14349" max="14349" width="7.85546875" style="347" customWidth="1"/>
    <col min="14350" max="14350" width="7.42578125" style="347" customWidth="1"/>
    <col min="14351" max="14351" width="8.140625" style="347" customWidth="1"/>
    <col min="14352" max="14352" width="7.85546875" style="347" customWidth="1"/>
    <col min="14353" max="14353" width="4.5703125" style="347" customWidth="1"/>
    <col min="14354" max="14354" width="5.5703125" style="347" customWidth="1"/>
    <col min="14355" max="14355" width="9.140625" style="347" customWidth="1"/>
    <col min="14356" max="14356" width="7" style="347" customWidth="1"/>
    <col min="14357" max="14357" width="8.42578125" style="347" customWidth="1"/>
    <col min="14358" max="14358" width="9" style="347" customWidth="1"/>
    <col min="14359" max="14361" width="4.5703125" style="347" customWidth="1"/>
    <col min="14362" max="14362" width="7.140625" style="347" customWidth="1"/>
    <col min="14363" max="14363" width="8.5703125" style="347" customWidth="1"/>
    <col min="14364" max="14367" width="4.5703125" style="347" customWidth="1"/>
    <col min="14368" max="14369" width="11.5703125" style="347"/>
    <col min="14370" max="14370" width="7.140625" style="347" customWidth="1"/>
    <col min="14371" max="14371" width="7.42578125" style="347" customWidth="1"/>
    <col min="14372" max="14372" width="6.5703125" style="347" customWidth="1"/>
    <col min="14373" max="14373" width="8.140625" style="347" customWidth="1"/>
    <col min="14374" max="14374" width="9.140625" style="347" customWidth="1"/>
    <col min="14375" max="14375" width="11.5703125" style="347"/>
    <col min="14376" max="14376" width="4.42578125" style="347" customWidth="1"/>
    <col min="14377" max="14377" width="4.85546875" style="347" customWidth="1"/>
    <col min="14378" max="14378" width="3.5703125" style="347" customWidth="1"/>
    <col min="14379" max="14379" width="4.42578125" style="347" customWidth="1"/>
    <col min="14380" max="14592" width="11.5703125" style="347"/>
    <col min="14593" max="14593" width="1.85546875" style="347" customWidth="1"/>
    <col min="14594" max="14594" width="32" style="347" customWidth="1"/>
    <col min="14595" max="14595" width="8" style="347" customWidth="1"/>
    <col min="14596" max="14596" width="8.42578125" style="347" customWidth="1"/>
    <col min="14597" max="14599" width="4.5703125" style="347" customWidth="1"/>
    <col min="14600" max="14600" width="7.140625" style="347" customWidth="1"/>
    <col min="14601" max="14601" width="7.42578125" style="347" customWidth="1"/>
    <col min="14602" max="14602" width="7.85546875" style="347" customWidth="1"/>
    <col min="14603" max="14603" width="8.42578125" style="347" customWidth="1"/>
    <col min="14604" max="14604" width="4.5703125" style="347" customWidth="1"/>
    <col min="14605" max="14605" width="7.85546875" style="347" customWidth="1"/>
    <col min="14606" max="14606" width="7.42578125" style="347" customWidth="1"/>
    <col min="14607" max="14607" width="8.140625" style="347" customWidth="1"/>
    <col min="14608" max="14608" width="7.85546875" style="347" customWidth="1"/>
    <col min="14609" max="14609" width="4.5703125" style="347" customWidth="1"/>
    <col min="14610" max="14610" width="5.5703125" style="347" customWidth="1"/>
    <col min="14611" max="14611" width="9.140625" style="347" customWidth="1"/>
    <col min="14612" max="14612" width="7" style="347" customWidth="1"/>
    <col min="14613" max="14613" width="8.42578125" style="347" customWidth="1"/>
    <col min="14614" max="14614" width="9" style="347" customWidth="1"/>
    <col min="14615" max="14617" width="4.5703125" style="347" customWidth="1"/>
    <col min="14618" max="14618" width="7.140625" style="347" customWidth="1"/>
    <col min="14619" max="14619" width="8.5703125" style="347" customWidth="1"/>
    <col min="14620" max="14623" width="4.5703125" style="347" customWidth="1"/>
    <col min="14624" max="14625" width="11.5703125" style="347"/>
    <col min="14626" max="14626" width="7.140625" style="347" customWidth="1"/>
    <col min="14627" max="14627" width="7.42578125" style="347" customWidth="1"/>
    <col min="14628" max="14628" width="6.5703125" style="347" customWidth="1"/>
    <col min="14629" max="14629" width="8.140625" style="347" customWidth="1"/>
    <col min="14630" max="14630" width="9.140625" style="347" customWidth="1"/>
    <col min="14631" max="14631" width="11.5703125" style="347"/>
    <col min="14632" max="14632" width="4.42578125" style="347" customWidth="1"/>
    <col min="14633" max="14633" width="4.85546875" style="347" customWidth="1"/>
    <col min="14634" max="14634" width="3.5703125" style="347" customWidth="1"/>
    <col min="14635" max="14635" width="4.42578125" style="347" customWidth="1"/>
    <col min="14636" max="14848" width="11.5703125" style="347"/>
    <col min="14849" max="14849" width="1.85546875" style="347" customWidth="1"/>
    <col min="14850" max="14850" width="32" style="347" customWidth="1"/>
    <col min="14851" max="14851" width="8" style="347" customWidth="1"/>
    <col min="14852" max="14852" width="8.42578125" style="347" customWidth="1"/>
    <col min="14853" max="14855" width="4.5703125" style="347" customWidth="1"/>
    <col min="14856" max="14856" width="7.140625" style="347" customWidth="1"/>
    <col min="14857" max="14857" width="7.42578125" style="347" customWidth="1"/>
    <col min="14858" max="14858" width="7.85546875" style="347" customWidth="1"/>
    <col min="14859" max="14859" width="8.42578125" style="347" customWidth="1"/>
    <col min="14860" max="14860" width="4.5703125" style="347" customWidth="1"/>
    <col min="14861" max="14861" width="7.85546875" style="347" customWidth="1"/>
    <col min="14862" max="14862" width="7.42578125" style="347" customWidth="1"/>
    <col min="14863" max="14863" width="8.140625" style="347" customWidth="1"/>
    <col min="14864" max="14864" width="7.85546875" style="347" customWidth="1"/>
    <col min="14865" max="14865" width="4.5703125" style="347" customWidth="1"/>
    <col min="14866" max="14866" width="5.5703125" style="347" customWidth="1"/>
    <col min="14867" max="14867" width="9.140625" style="347" customWidth="1"/>
    <col min="14868" max="14868" width="7" style="347" customWidth="1"/>
    <col min="14869" max="14869" width="8.42578125" style="347" customWidth="1"/>
    <col min="14870" max="14870" width="9" style="347" customWidth="1"/>
    <col min="14871" max="14873" width="4.5703125" style="347" customWidth="1"/>
    <col min="14874" max="14874" width="7.140625" style="347" customWidth="1"/>
    <col min="14875" max="14875" width="8.5703125" style="347" customWidth="1"/>
    <col min="14876" max="14879" width="4.5703125" style="347" customWidth="1"/>
    <col min="14880" max="14881" width="11.5703125" style="347"/>
    <col min="14882" max="14882" width="7.140625" style="347" customWidth="1"/>
    <col min="14883" max="14883" width="7.42578125" style="347" customWidth="1"/>
    <col min="14884" max="14884" width="6.5703125" style="347" customWidth="1"/>
    <col min="14885" max="14885" width="8.140625" style="347" customWidth="1"/>
    <col min="14886" max="14886" width="9.140625" style="347" customWidth="1"/>
    <col min="14887" max="14887" width="11.5703125" style="347"/>
    <col min="14888" max="14888" width="4.42578125" style="347" customWidth="1"/>
    <col min="14889" max="14889" width="4.85546875" style="347" customWidth="1"/>
    <col min="14890" max="14890" width="3.5703125" style="347" customWidth="1"/>
    <col min="14891" max="14891" width="4.42578125" style="347" customWidth="1"/>
    <col min="14892" max="15104" width="11.5703125" style="347"/>
    <col min="15105" max="15105" width="1.85546875" style="347" customWidth="1"/>
    <col min="15106" max="15106" width="32" style="347" customWidth="1"/>
    <col min="15107" max="15107" width="8" style="347" customWidth="1"/>
    <col min="15108" max="15108" width="8.42578125" style="347" customWidth="1"/>
    <col min="15109" max="15111" width="4.5703125" style="347" customWidth="1"/>
    <col min="15112" max="15112" width="7.140625" style="347" customWidth="1"/>
    <col min="15113" max="15113" width="7.42578125" style="347" customWidth="1"/>
    <col min="15114" max="15114" width="7.85546875" style="347" customWidth="1"/>
    <col min="15115" max="15115" width="8.42578125" style="347" customWidth="1"/>
    <col min="15116" max="15116" width="4.5703125" style="347" customWidth="1"/>
    <col min="15117" max="15117" width="7.85546875" style="347" customWidth="1"/>
    <col min="15118" max="15118" width="7.42578125" style="347" customWidth="1"/>
    <col min="15119" max="15119" width="8.140625" style="347" customWidth="1"/>
    <col min="15120" max="15120" width="7.85546875" style="347" customWidth="1"/>
    <col min="15121" max="15121" width="4.5703125" style="347" customWidth="1"/>
    <col min="15122" max="15122" width="5.5703125" style="347" customWidth="1"/>
    <col min="15123" max="15123" width="9.140625" style="347" customWidth="1"/>
    <col min="15124" max="15124" width="7" style="347" customWidth="1"/>
    <col min="15125" max="15125" width="8.42578125" style="347" customWidth="1"/>
    <col min="15126" max="15126" width="9" style="347" customWidth="1"/>
    <col min="15127" max="15129" width="4.5703125" style="347" customWidth="1"/>
    <col min="15130" max="15130" width="7.140625" style="347" customWidth="1"/>
    <col min="15131" max="15131" width="8.5703125" style="347" customWidth="1"/>
    <col min="15132" max="15135" width="4.5703125" style="347" customWidth="1"/>
    <col min="15136" max="15137" width="11.5703125" style="347"/>
    <col min="15138" max="15138" width="7.140625" style="347" customWidth="1"/>
    <col min="15139" max="15139" width="7.42578125" style="347" customWidth="1"/>
    <col min="15140" max="15140" width="6.5703125" style="347" customWidth="1"/>
    <col min="15141" max="15141" width="8.140625" style="347" customWidth="1"/>
    <col min="15142" max="15142" width="9.140625" style="347" customWidth="1"/>
    <col min="15143" max="15143" width="11.5703125" style="347"/>
    <col min="15144" max="15144" width="4.42578125" style="347" customWidth="1"/>
    <col min="15145" max="15145" width="4.85546875" style="347" customWidth="1"/>
    <col min="15146" max="15146" width="3.5703125" style="347" customWidth="1"/>
    <col min="15147" max="15147" width="4.42578125" style="347" customWidth="1"/>
    <col min="15148" max="15360" width="11.5703125" style="347"/>
    <col min="15361" max="15361" width="1.85546875" style="347" customWidth="1"/>
    <col min="15362" max="15362" width="32" style="347" customWidth="1"/>
    <col min="15363" max="15363" width="8" style="347" customWidth="1"/>
    <col min="15364" max="15364" width="8.42578125" style="347" customWidth="1"/>
    <col min="15365" max="15367" width="4.5703125" style="347" customWidth="1"/>
    <col min="15368" max="15368" width="7.140625" style="347" customWidth="1"/>
    <col min="15369" max="15369" width="7.42578125" style="347" customWidth="1"/>
    <col min="15370" max="15370" width="7.85546875" style="347" customWidth="1"/>
    <col min="15371" max="15371" width="8.42578125" style="347" customWidth="1"/>
    <col min="15372" max="15372" width="4.5703125" style="347" customWidth="1"/>
    <col min="15373" max="15373" width="7.85546875" style="347" customWidth="1"/>
    <col min="15374" max="15374" width="7.42578125" style="347" customWidth="1"/>
    <col min="15375" max="15375" width="8.140625" style="347" customWidth="1"/>
    <col min="15376" max="15376" width="7.85546875" style="347" customWidth="1"/>
    <col min="15377" max="15377" width="4.5703125" style="347" customWidth="1"/>
    <col min="15378" max="15378" width="5.5703125" style="347" customWidth="1"/>
    <col min="15379" max="15379" width="9.140625" style="347" customWidth="1"/>
    <col min="15380" max="15380" width="7" style="347" customWidth="1"/>
    <col min="15381" max="15381" width="8.42578125" style="347" customWidth="1"/>
    <col min="15382" max="15382" width="9" style="347" customWidth="1"/>
    <col min="15383" max="15385" width="4.5703125" style="347" customWidth="1"/>
    <col min="15386" max="15386" width="7.140625" style="347" customWidth="1"/>
    <col min="15387" max="15387" width="8.5703125" style="347" customWidth="1"/>
    <col min="15388" max="15391" width="4.5703125" style="347" customWidth="1"/>
    <col min="15392" max="15393" width="11.5703125" style="347"/>
    <col min="15394" max="15394" width="7.140625" style="347" customWidth="1"/>
    <col min="15395" max="15395" width="7.42578125" style="347" customWidth="1"/>
    <col min="15396" max="15396" width="6.5703125" style="347" customWidth="1"/>
    <col min="15397" max="15397" width="8.140625" style="347" customWidth="1"/>
    <col min="15398" max="15398" width="9.140625" style="347" customWidth="1"/>
    <col min="15399" max="15399" width="11.5703125" style="347"/>
    <col min="15400" max="15400" width="4.42578125" style="347" customWidth="1"/>
    <col min="15401" max="15401" width="4.85546875" style="347" customWidth="1"/>
    <col min="15402" max="15402" width="3.5703125" style="347" customWidth="1"/>
    <col min="15403" max="15403" width="4.42578125" style="347" customWidth="1"/>
    <col min="15404" max="15616" width="11.5703125" style="347"/>
    <col min="15617" max="15617" width="1.85546875" style="347" customWidth="1"/>
    <col min="15618" max="15618" width="32" style="347" customWidth="1"/>
    <col min="15619" max="15619" width="8" style="347" customWidth="1"/>
    <col min="15620" max="15620" width="8.42578125" style="347" customWidth="1"/>
    <col min="15621" max="15623" width="4.5703125" style="347" customWidth="1"/>
    <col min="15624" max="15624" width="7.140625" style="347" customWidth="1"/>
    <col min="15625" max="15625" width="7.42578125" style="347" customWidth="1"/>
    <col min="15626" max="15626" width="7.85546875" style="347" customWidth="1"/>
    <col min="15627" max="15627" width="8.42578125" style="347" customWidth="1"/>
    <col min="15628" max="15628" width="4.5703125" style="347" customWidth="1"/>
    <col min="15629" max="15629" width="7.85546875" style="347" customWidth="1"/>
    <col min="15630" max="15630" width="7.42578125" style="347" customWidth="1"/>
    <col min="15631" max="15631" width="8.140625" style="347" customWidth="1"/>
    <col min="15632" max="15632" width="7.85546875" style="347" customWidth="1"/>
    <col min="15633" max="15633" width="4.5703125" style="347" customWidth="1"/>
    <col min="15634" max="15634" width="5.5703125" style="347" customWidth="1"/>
    <col min="15635" max="15635" width="9.140625" style="347" customWidth="1"/>
    <col min="15636" max="15636" width="7" style="347" customWidth="1"/>
    <col min="15637" max="15637" width="8.42578125" style="347" customWidth="1"/>
    <col min="15638" max="15638" width="9" style="347" customWidth="1"/>
    <col min="15639" max="15641" width="4.5703125" style="347" customWidth="1"/>
    <col min="15642" max="15642" width="7.140625" style="347" customWidth="1"/>
    <col min="15643" max="15643" width="8.5703125" style="347" customWidth="1"/>
    <col min="15644" max="15647" width="4.5703125" style="347" customWidth="1"/>
    <col min="15648" max="15649" width="11.5703125" style="347"/>
    <col min="15650" max="15650" width="7.140625" style="347" customWidth="1"/>
    <col min="15651" max="15651" width="7.42578125" style="347" customWidth="1"/>
    <col min="15652" max="15652" width="6.5703125" style="347" customWidth="1"/>
    <col min="15653" max="15653" width="8.140625" style="347" customWidth="1"/>
    <col min="15654" max="15654" width="9.140625" style="347" customWidth="1"/>
    <col min="15655" max="15655" width="11.5703125" style="347"/>
    <col min="15656" max="15656" width="4.42578125" style="347" customWidth="1"/>
    <col min="15657" max="15657" width="4.85546875" style="347" customWidth="1"/>
    <col min="15658" max="15658" width="3.5703125" style="347" customWidth="1"/>
    <col min="15659" max="15659" width="4.42578125" style="347" customWidth="1"/>
    <col min="15660" max="15872" width="11.5703125" style="347"/>
    <col min="15873" max="15873" width="1.85546875" style="347" customWidth="1"/>
    <col min="15874" max="15874" width="32" style="347" customWidth="1"/>
    <col min="15875" max="15875" width="8" style="347" customWidth="1"/>
    <col min="15876" max="15876" width="8.42578125" style="347" customWidth="1"/>
    <col min="15877" max="15879" width="4.5703125" style="347" customWidth="1"/>
    <col min="15880" max="15880" width="7.140625" style="347" customWidth="1"/>
    <col min="15881" max="15881" width="7.42578125" style="347" customWidth="1"/>
    <col min="15882" max="15882" width="7.85546875" style="347" customWidth="1"/>
    <col min="15883" max="15883" width="8.42578125" style="347" customWidth="1"/>
    <col min="15884" max="15884" width="4.5703125" style="347" customWidth="1"/>
    <col min="15885" max="15885" width="7.85546875" style="347" customWidth="1"/>
    <col min="15886" max="15886" width="7.42578125" style="347" customWidth="1"/>
    <col min="15887" max="15887" width="8.140625" style="347" customWidth="1"/>
    <col min="15888" max="15888" width="7.85546875" style="347" customWidth="1"/>
    <col min="15889" max="15889" width="4.5703125" style="347" customWidth="1"/>
    <col min="15890" max="15890" width="5.5703125" style="347" customWidth="1"/>
    <col min="15891" max="15891" width="9.140625" style="347" customWidth="1"/>
    <col min="15892" max="15892" width="7" style="347" customWidth="1"/>
    <col min="15893" max="15893" width="8.42578125" style="347" customWidth="1"/>
    <col min="15894" max="15894" width="9" style="347" customWidth="1"/>
    <col min="15895" max="15897" width="4.5703125" style="347" customWidth="1"/>
    <col min="15898" max="15898" width="7.140625" style="347" customWidth="1"/>
    <col min="15899" max="15899" width="8.5703125" style="347" customWidth="1"/>
    <col min="15900" max="15903" width="4.5703125" style="347" customWidth="1"/>
    <col min="15904" max="15905" width="11.5703125" style="347"/>
    <col min="15906" max="15906" width="7.140625" style="347" customWidth="1"/>
    <col min="15907" max="15907" width="7.42578125" style="347" customWidth="1"/>
    <col min="15908" max="15908" width="6.5703125" style="347" customWidth="1"/>
    <col min="15909" max="15909" width="8.140625" style="347" customWidth="1"/>
    <col min="15910" max="15910" width="9.140625" style="347" customWidth="1"/>
    <col min="15911" max="15911" width="11.5703125" style="347"/>
    <col min="15912" max="15912" width="4.42578125" style="347" customWidth="1"/>
    <col min="15913" max="15913" width="4.85546875" style="347" customWidth="1"/>
    <col min="15914" max="15914" width="3.5703125" style="347" customWidth="1"/>
    <col min="15915" max="15915" width="4.42578125" style="347" customWidth="1"/>
    <col min="15916" max="16128" width="11.5703125" style="347"/>
    <col min="16129" max="16129" width="1.85546875" style="347" customWidth="1"/>
    <col min="16130" max="16130" width="32" style="347" customWidth="1"/>
    <col min="16131" max="16131" width="8" style="347" customWidth="1"/>
    <col min="16132" max="16132" width="8.42578125" style="347" customWidth="1"/>
    <col min="16133" max="16135" width="4.5703125" style="347" customWidth="1"/>
    <col min="16136" max="16136" width="7.140625" style="347" customWidth="1"/>
    <col min="16137" max="16137" width="7.42578125" style="347" customWidth="1"/>
    <col min="16138" max="16138" width="7.85546875" style="347" customWidth="1"/>
    <col min="16139" max="16139" width="8.42578125" style="347" customWidth="1"/>
    <col min="16140" max="16140" width="4.5703125" style="347" customWidth="1"/>
    <col min="16141" max="16141" width="7.85546875" style="347" customWidth="1"/>
    <col min="16142" max="16142" width="7.42578125" style="347" customWidth="1"/>
    <col min="16143" max="16143" width="8.140625" style="347" customWidth="1"/>
    <col min="16144" max="16144" width="7.85546875" style="347" customWidth="1"/>
    <col min="16145" max="16145" width="4.5703125" style="347" customWidth="1"/>
    <col min="16146" max="16146" width="5.5703125" style="347" customWidth="1"/>
    <col min="16147" max="16147" width="9.140625" style="347" customWidth="1"/>
    <col min="16148" max="16148" width="7" style="347" customWidth="1"/>
    <col min="16149" max="16149" width="8.42578125" style="347" customWidth="1"/>
    <col min="16150" max="16150" width="9" style="347" customWidth="1"/>
    <col min="16151" max="16153" width="4.5703125" style="347" customWidth="1"/>
    <col min="16154" max="16154" width="7.140625" style="347" customWidth="1"/>
    <col min="16155" max="16155" width="8.5703125" style="347" customWidth="1"/>
    <col min="16156" max="16159" width="4.5703125" style="347" customWidth="1"/>
    <col min="16160" max="16161" width="11.5703125" style="347"/>
    <col min="16162" max="16162" width="7.140625" style="347" customWidth="1"/>
    <col min="16163" max="16163" width="7.42578125" style="347" customWidth="1"/>
    <col min="16164" max="16164" width="6.5703125" style="347" customWidth="1"/>
    <col min="16165" max="16165" width="8.140625" style="347" customWidth="1"/>
    <col min="16166" max="16166" width="9.140625" style="347" customWidth="1"/>
    <col min="16167" max="16167" width="11.5703125" style="347"/>
    <col min="16168" max="16168" width="4.42578125" style="347" customWidth="1"/>
    <col min="16169" max="16169" width="4.85546875" style="347" customWidth="1"/>
    <col min="16170" max="16170" width="3.5703125" style="347" customWidth="1"/>
    <col min="16171" max="16171" width="4.42578125" style="347" customWidth="1"/>
    <col min="16172" max="16384" width="11.5703125" style="347"/>
  </cols>
  <sheetData>
    <row r="1" spans="3:22" ht="15.75" thickBot="1" x14ac:dyDescent="0.3"/>
    <row r="2" spans="3:22" s="352" customFormat="1" ht="18.75" x14ac:dyDescent="0.4">
      <c r="C2" s="349" t="s">
        <v>357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1"/>
      <c r="S2" s="353"/>
    </row>
    <row r="3" spans="3:22" s="352" customFormat="1" ht="23.45" customHeight="1" thickBot="1" x14ac:dyDescent="0.45">
      <c r="C3" s="354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6"/>
      <c r="S3" s="353"/>
    </row>
    <row r="4" spans="3:22" ht="27" customHeight="1" thickBot="1" x14ac:dyDescent="0.3">
      <c r="C4" s="357"/>
      <c r="D4" s="358"/>
      <c r="E4" s="358"/>
      <c r="F4" s="358"/>
      <c r="G4" s="358"/>
      <c r="H4" s="358"/>
      <c r="I4" s="358"/>
      <c r="J4" s="358"/>
      <c r="K4" s="359"/>
      <c r="L4" s="360" t="s">
        <v>358</v>
      </c>
      <c r="M4" s="361"/>
      <c r="N4" s="361"/>
      <c r="O4" s="361"/>
      <c r="P4" s="362"/>
      <c r="Q4" s="363"/>
    </row>
    <row r="5" spans="3:22" ht="27" customHeight="1" x14ac:dyDescent="0.25">
      <c r="C5" s="364" t="s">
        <v>359</v>
      </c>
      <c r="D5" s="365"/>
      <c r="E5" s="365"/>
      <c r="F5" s="365"/>
      <c r="G5" s="365"/>
      <c r="H5" s="365"/>
      <c r="I5" s="365"/>
      <c r="J5" s="365"/>
      <c r="K5" s="234">
        <v>1400</v>
      </c>
      <c r="L5" s="366"/>
      <c r="M5" s="367"/>
      <c r="N5" s="367"/>
      <c r="O5" s="367"/>
      <c r="P5" s="368"/>
      <c r="Q5" s="369" t="s">
        <v>290</v>
      </c>
    </row>
    <row r="6" spans="3:22" ht="27" customHeight="1" x14ac:dyDescent="0.25">
      <c r="C6" s="370" t="s">
        <v>293</v>
      </c>
      <c r="D6" s="371"/>
      <c r="E6" s="371"/>
      <c r="F6" s="371"/>
      <c r="G6" s="371"/>
      <c r="H6" s="371"/>
      <c r="I6" s="371"/>
      <c r="J6" s="371"/>
      <c r="K6" s="372">
        <v>1401</v>
      </c>
      <c r="L6" s="373"/>
      <c r="M6" s="374"/>
      <c r="N6" s="374"/>
      <c r="O6" s="374"/>
      <c r="P6" s="375"/>
      <c r="Q6" s="376" t="s">
        <v>290</v>
      </c>
    </row>
    <row r="7" spans="3:22" ht="27" customHeight="1" x14ac:dyDescent="0.25">
      <c r="C7" s="377" t="s">
        <v>294</v>
      </c>
      <c r="D7" s="378"/>
      <c r="E7" s="378"/>
      <c r="F7" s="378"/>
      <c r="G7" s="378"/>
      <c r="H7" s="378"/>
      <c r="I7" s="378"/>
      <c r="J7" s="378"/>
      <c r="K7" s="372">
        <v>1402</v>
      </c>
      <c r="L7" s="373"/>
      <c r="M7" s="374"/>
      <c r="N7" s="374"/>
      <c r="O7" s="374"/>
      <c r="P7" s="375"/>
      <c r="Q7" s="376" t="s">
        <v>290</v>
      </c>
    </row>
    <row r="8" spans="3:22" ht="27" customHeight="1" x14ac:dyDescent="0.25">
      <c r="C8" s="379" t="s">
        <v>295</v>
      </c>
      <c r="D8" s="380"/>
      <c r="E8" s="380"/>
      <c r="F8" s="380"/>
      <c r="G8" s="380"/>
      <c r="H8" s="380"/>
      <c r="I8" s="380"/>
      <c r="J8" s="380"/>
      <c r="K8" s="372">
        <v>1403</v>
      </c>
      <c r="L8" s="373"/>
      <c r="M8" s="374"/>
      <c r="N8" s="374"/>
      <c r="O8" s="374"/>
      <c r="P8" s="375"/>
      <c r="Q8" s="376" t="s">
        <v>290</v>
      </c>
    </row>
    <row r="9" spans="3:22" ht="27" customHeight="1" x14ac:dyDescent="0.25">
      <c r="C9" s="379" t="s">
        <v>296</v>
      </c>
      <c r="D9" s="380"/>
      <c r="E9" s="380"/>
      <c r="F9" s="380"/>
      <c r="G9" s="380"/>
      <c r="H9" s="380"/>
      <c r="I9" s="380"/>
      <c r="J9" s="380"/>
      <c r="K9" s="372">
        <v>1587</v>
      </c>
      <c r="L9" s="373"/>
      <c r="M9" s="374"/>
      <c r="N9" s="374"/>
      <c r="O9" s="374"/>
      <c r="P9" s="375"/>
      <c r="Q9" s="376" t="s">
        <v>290</v>
      </c>
    </row>
    <row r="10" spans="3:22" ht="27" customHeight="1" x14ac:dyDescent="0.25">
      <c r="C10" s="370" t="s">
        <v>299</v>
      </c>
      <c r="D10" s="371"/>
      <c r="E10" s="371"/>
      <c r="F10" s="371"/>
      <c r="G10" s="371"/>
      <c r="H10" s="371"/>
      <c r="I10" s="371"/>
      <c r="J10" s="371"/>
      <c r="K10" s="372">
        <v>1588</v>
      </c>
      <c r="L10" s="373"/>
      <c r="M10" s="374"/>
      <c r="N10" s="374"/>
      <c r="O10" s="374"/>
      <c r="P10" s="375"/>
      <c r="Q10" s="376" t="s">
        <v>290</v>
      </c>
    </row>
    <row r="11" spans="3:22" ht="54.6" customHeight="1" x14ac:dyDescent="0.25">
      <c r="C11" s="379" t="s">
        <v>311</v>
      </c>
      <c r="D11" s="380"/>
      <c r="E11" s="380"/>
      <c r="F11" s="380"/>
      <c r="G11" s="380"/>
      <c r="H11" s="380"/>
      <c r="I11" s="380"/>
      <c r="J11" s="380"/>
      <c r="K11" s="372">
        <v>1404</v>
      </c>
      <c r="L11" s="373">
        <f>+'[15]BASE IMPONIBLE'!G27</f>
        <v>0</v>
      </c>
      <c r="M11" s="374"/>
      <c r="N11" s="374"/>
      <c r="O11" s="374"/>
      <c r="P11" s="375"/>
      <c r="Q11" s="376" t="s">
        <v>290</v>
      </c>
    </row>
    <row r="12" spans="3:22" ht="27" customHeight="1" thickBot="1" x14ac:dyDescent="0.3">
      <c r="C12" s="381" t="s">
        <v>312</v>
      </c>
      <c r="D12" s="382"/>
      <c r="E12" s="382"/>
      <c r="F12" s="382"/>
      <c r="G12" s="382"/>
      <c r="H12" s="382"/>
      <c r="I12" s="382"/>
      <c r="J12" s="382"/>
      <c r="K12" s="383">
        <v>1405</v>
      </c>
      <c r="L12" s="384">
        <f>+'[15]BASE IMPONIBLE'!G28</f>
        <v>0</v>
      </c>
      <c r="M12" s="385"/>
      <c r="N12" s="385"/>
      <c r="O12" s="385"/>
      <c r="P12" s="386"/>
      <c r="Q12" s="387" t="s">
        <v>290</v>
      </c>
    </row>
    <row r="13" spans="3:22" ht="27" customHeight="1" thickBot="1" x14ac:dyDescent="0.3">
      <c r="C13" s="388" t="s">
        <v>313</v>
      </c>
      <c r="D13" s="389"/>
      <c r="E13" s="389"/>
      <c r="F13" s="389"/>
      <c r="G13" s="389"/>
      <c r="H13" s="389"/>
      <c r="I13" s="389"/>
      <c r="J13" s="390"/>
      <c r="K13" s="287">
        <v>1410</v>
      </c>
      <c r="L13" s="391">
        <f>SUM(L5:P12)</f>
        <v>0</v>
      </c>
      <c r="M13" s="391"/>
      <c r="N13" s="391"/>
      <c r="O13" s="391"/>
      <c r="P13" s="391"/>
      <c r="Q13" s="392" t="s">
        <v>288</v>
      </c>
    </row>
    <row r="14" spans="3:22" ht="27" customHeight="1" thickBot="1" x14ac:dyDescent="0.3">
      <c r="C14" s="393" t="s">
        <v>360</v>
      </c>
      <c r="D14" s="394"/>
      <c r="E14" s="394"/>
      <c r="F14" s="394"/>
      <c r="G14" s="394"/>
      <c r="H14" s="394"/>
      <c r="I14" s="394"/>
      <c r="J14" s="395"/>
      <c r="K14" s="232">
        <v>1406</v>
      </c>
      <c r="L14" s="367">
        <f>+'[15]BASE IMPONIBLE'!G30</f>
        <v>0</v>
      </c>
      <c r="M14" s="367"/>
      <c r="N14" s="367"/>
      <c r="O14" s="367"/>
      <c r="P14" s="367"/>
      <c r="Q14" s="396" t="s">
        <v>315</v>
      </c>
      <c r="S14" s="348" t="s">
        <v>361</v>
      </c>
      <c r="T14" s="348"/>
      <c r="U14" s="348"/>
      <c r="V14" s="348"/>
    </row>
    <row r="15" spans="3:22" ht="27" customHeight="1" thickBot="1" x14ac:dyDescent="0.3">
      <c r="C15" s="379" t="s">
        <v>362</v>
      </c>
      <c r="D15" s="380"/>
      <c r="E15" s="380"/>
      <c r="F15" s="380"/>
      <c r="G15" s="380"/>
      <c r="H15" s="380"/>
      <c r="I15" s="380"/>
      <c r="J15" s="397"/>
      <c r="K15" s="237">
        <v>1407</v>
      </c>
      <c r="L15" s="367">
        <f>+'[15]BASE IMPONIBLE'!G31</f>
        <v>0</v>
      </c>
      <c r="M15" s="367"/>
      <c r="N15" s="367"/>
      <c r="O15" s="367"/>
      <c r="P15" s="367"/>
      <c r="Q15" s="398" t="s">
        <v>315</v>
      </c>
      <c r="S15" s="348" t="s">
        <v>361</v>
      </c>
    </row>
    <row r="16" spans="3:22" ht="27" customHeight="1" thickBot="1" x14ac:dyDescent="0.3">
      <c r="C16" s="379" t="s">
        <v>317</v>
      </c>
      <c r="D16" s="380"/>
      <c r="E16" s="380"/>
      <c r="F16" s="380"/>
      <c r="G16" s="380"/>
      <c r="H16" s="380"/>
      <c r="I16" s="380"/>
      <c r="J16" s="397"/>
      <c r="K16" s="237">
        <v>1408</v>
      </c>
      <c r="L16" s="367">
        <f>+'[15]BASE IMPONIBLE'!G32</f>
        <v>0</v>
      </c>
      <c r="M16" s="367"/>
      <c r="N16" s="367"/>
      <c r="O16" s="367"/>
      <c r="P16" s="367"/>
      <c r="Q16" s="398" t="s">
        <v>315</v>
      </c>
      <c r="S16" s="348" t="s">
        <v>361</v>
      </c>
    </row>
    <row r="17" spans="3:20" ht="27" customHeight="1" thickBot="1" x14ac:dyDescent="0.3">
      <c r="C17" s="379" t="s">
        <v>363</v>
      </c>
      <c r="D17" s="380"/>
      <c r="E17" s="380"/>
      <c r="F17" s="380"/>
      <c r="G17" s="380"/>
      <c r="H17" s="380"/>
      <c r="I17" s="380"/>
      <c r="J17" s="397"/>
      <c r="K17" s="237">
        <v>1409</v>
      </c>
      <c r="L17" s="367"/>
      <c r="M17" s="367"/>
      <c r="N17" s="367"/>
      <c r="O17" s="367"/>
      <c r="P17" s="367"/>
      <c r="Q17" s="398" t="s">
        <v>315</v>
      </c>
    </row>
    <row r="18" spans="3:20" ht="27" customHeight="1" thickBot="1" x14ac:dyDescent="0.3">
      <c r="C18" s="379" t="s">
        <v>364</v>
      </c>
      <c r="D18" s="380"/>
      <c r="E18" s="380"/>
      <c r="F18" s="380"/>
      <c r="G18" s="380"/>
      <c r="H18" s="380"/>
      <c r="I18" s="380"/>
      <c r="J18" s="397"/>
      <c r="K18" s="237">
        <v>1429</v>
      </c>
      <c r="L18" s="367">
        <f>+'[15]BASE IMPONIBLE'!G34</f>
        <v>0</v>
      </c>
      <c r="M18" s="367"/>
      <c r="N18" s="367"/>
      <c r="O18" s="367"/>
      <c r="P18" s="367"/>
      <c r="Q18" s="398" t="s">
        <v>315</v>
      </c>
    </row>
    <row r="19" spans="3:20" ht="27" customHeight="1" thickBot="1" x14ac:dyDescent="0.3">
      <c r="C19" s="379" t="s">
        <v>365</v>
      </c>
      <c r="D19" s="380"/>
      <c r="E19" s="380"/>
      <c r="F19" s="380"/>
      <c r="G19" s="380"/>
      <c r="H19" s="380"/>
      <c r="I19" s="380"/>
      <c r="J19" s="397"/>
      <c r="K19" s="237">
        <v>1411</v>
      </c>
      <c r="L19" s="367">
        <f>+'base imponible  at 2024'!G35</f>
        <v>37099152.179799996</v>
      </c>
      <c r="M19" s="367"/>
      <c r="N19" s="367"/>
      <c r="O19" s="367"/>
      <c r="P19" s="367"/>
      <c r="Q19" s="398" t="s">
        <v>315</v>
      </c>
      <c r="T19" s="347">
        <v>27735492</v>
      </c>
    </row>
    <row r="20" spans="3:20" ht="27" customHeight="1" thickBot="1" x14ac:dyDescent="0.3">
      <c r="C20" s="379" t="s">
        <v>366</v>
      </c>
      <c r="D20" s="380"/>
      <c r="E20" s="380"/>
      <c r="F20" s="380"/>
      <c r="G20" s="380"/>
      <c r="H20" s="380"/>
      <c r="I20" s="380"/>
      <c r="J20" s="397"/>
      <c r="K20" s="237">
        <v>1412</v>
      </c>
      <c r="L20" s="367"/>
      <c r="M20" s="367"/>
      <c r="N20" s="367"/>
      <c r="O20" s="367"/>
      <c r="P20" s="367"/>
      <c r="Q20" s="398" t="s">
        <v>315</v>
      </c>
    </row>
    <row r="21" spans="3:20" ht="27" customHeight="1" thickBot="1" x14ac:dyDescent="0.3">
      <c r="C21" s="379" t="s">
        <v>367</v>
      </c>
      <c r="D21" s="380"/>
      <c r="E21" s="380"/>
      <c r="F21" s="380"/>
      <c r="G21" s="380"/>
      <c r="H21" s="380"/>
      <c r="I21" s="380"/>
      <c r="J21" s="397"/>
      <c r="K21" s="237">
        <v>1413</v>
      </c>
      <c r="L21" s="367"/>
      <c r="M21" s="367"/>
      <c r="N21" s="367"/>
      <c r="O21" s="367"/>
      <c r="P21" s="367"/>
      <c r="Q21" s="398" t="s">
        <v>315</v>
      </c>
      <c r="T21" s="347">
        <v>4077033</v>
      </c>
    </row>
    <row r="22" spans="3:20" ht="27" customHeight="1" thickBot="1" x14ac:dyDescent="0.3">
      <c r="C22" s="379" t="s">
        <v>368</v>
      </c>
      <c r="D22" s="380"/>
      <c r="E22" s="380"/>
      <c r="F22" s="380"/>
      <c r="G22" s="380"/>
      <c r="H22" s="380"/>
      <c r="I22" s="380"/>
      <c r="J22" s="397"/>
      <c r="K22" s="237">
        <v>1414</v>
      </c>
      <c r="L22" s="367">
        <f>+'[15]BASE IMPONIBLE'!G38</f>
        <v>0</v>
      </c>
      <c r="M22" s="367"/>
      <c r="N22" s="367"/>
      <c r="O22" s="367"/>
      <c r="P22" s="367"/>
      <c r="Q22" s="398" t="s">
        <v>315</v>
      </c>
      <c r="T22" s="347">
        <v>8048398.2665999997</v>
      </c>
    </row>
    <row r="23" spans="3:20" ht="27" customHeight="1" thickBot="1" x14ac:dyDescent="0.3">
      <c r="C23" s="379" t="s">
        <v>369</v>
      </c>
      <c r="D23" s="380"/>
      <c r="E23" s="380"/>
      <c r="F23" s="380"/>
      <c r="G23" s="380"/>
      <c r="H23" s="380"/>
      <c r="I23" s="380"/>
      <c r="J23" s="397"/>
      <c r="K23" s="237">
        <v>1415</v>
      </c>
      <c r="L23" s="367">
        <f>+'[15]BASE IMPONIBLE'!G39</f>
        <v>0</v>
      </c>
      <c r="M23" s="367"/>
      <c r="N23" s="367"/>
      <c r="O23" s="367"/>
      <c r="P23" s="367"/>
      <c r="Q23" s="398" t="s">
        <v>315</v>
      </c>
      <c r="T23" s="347">
        <f>SUM(T19:T22)</f>
        <v>39860923.266599998</v>
      </c>
    </row>
    <row r="24" spans="3:20" ht="27" customHeight="1" thickBot="1" x14ac:dyDescent="0.3">
      <c r="C24" s="399" t="s">
        <v>370</v>
      </c>
      <c r="D24" s="400"/>
      <c r="E24" s="400"/>
      <c r="F24" s="400"/>
      <c r="G24" s="400"/>
      <c r="H24" s="400"/>
      <c r="I24" s="400"/>
      <c r="J24" s="401"/>
      <c r="K24" s="237">
        <v>1416</v>
      </c>
      <c r="L24" s="367">
        <f>+'[15]BASE IMPONIBLE'!G40</f>
        <v>0</v>
      </c>
      <c r="M24" s="367"/>
      <c r="N24" s="367"/>
      <c r="O24" s="367"/>
      <c r="P24" s="367"/>
      <c r="Q24" s="398" t="s">
        <v>315</v>
      </c>
      <c r="T24" s="347">
        <f>+L19</f>
        <v>37099152.179799996</v>
      </c>
    </row>
    <row r="25" spans="3:20" ht="27" customHeight="1" thickBot="1" x14ac:dyDescent="0.3">
      <c r="C25" s="399" t="s">
        <v>326</v>
      </c>
      <c r="D25" s="400"/>
      <c r="E25" s="400"/>
      <c r="F25" s="400"/>
      <c r="G25" s="400"/>
      <c r="H25" s="400"/>
      <c r="I25" s="400"/>
      <c r="J25" s="401"/>
      <c r="K25" s="237">
        <v>1417</v>
      </c>
      <c r="L25" s="367">
        <f>+'[15]BASE IMPONIBLE'!G41</f>
        <v>0</v>
      </c>
      <c r="M25" s="367"/>
      <c r="N25" s="367"/>
      <c r="O25" s="367"/>
      <c r="P25" s="367"/>
      <c r="Q25" s="398" t="s">
        <v>315</v>
      </c>
      <c r="T25" s="347">
        <f>+T23-T24</f>
        <v>2761771.0868000016</v>
      </c>
    </row>
    <row r="26" spans="3:20" ht="27" customHeight="1" thickBot="1" x14ac:dyDescent="0.3">
      <c r="C26" s="399" t="s">
        <v>327</v>
      </c>
      <c r="D26" s="400"/>
      <c r="E26" s="400"/>
      <c r="F26" s="400"/>
      <c r="G26" s="400"/>
      <c r="H26" s="400"/>
      <c r="I26" s="400"/>
      <c r="J26" s="401"/>
      <c r="K26" s="237">
        <v>1418</v>
      </c>
      <c r="L26" s="367">
        <f>+'[15]BASE IMPONIBLE'!G42</f>
        <v>0</v>
      </c>
      <c r="M26" s="367"/>
      <c r="N26" s="367"/>
      <c r="O26" s="367"/>
      <c r="P26" s="367"/>
      <c r="Q26" s="398" t="s">
        <v>315</v>
      </c>
      <c r="T26" s="347">
        <f>+'base imponible  at 2024'!E35</f>
        <v>2761771.0867999997</v>
      </c>
    </row>
    <row r="27" spans="3:20" ht="27" customHeight="1" thickBot="1" x14ac:dyDescent="0.3">
      <c r="C27" s="399" t="s">
        <v>328</v>
      </c>
      <c r="D27" s="400"/>
      <c r="E27" s="400"/>
      <c r="F27" s="400"/>
      <c r="G27" s="400"/>
      <c r="H27" s="400"/>
      <c r="I27" s="400"/>
      <c r="J27" s="401"/>
      <c r="K27" s="237">
        <v>1419</v>
      </c>
      <c r="L27" s="367">
        <f>+'[15]BASE IMPONIBLE'!G43</f>
        <v>0</v>
      </c>
      <c r="M27" s="367"/>
      <c r="N27" s="367"/>
      <c r="O27" s="367"/>
      <c r="P27" s="367"/>
      <c r="Q27" s="398" t="s">
        <v>315</v>
      </c>
      <c r="T27" s="347">
        <f>+T25-T26</f>
        <v>0</v>
      </c>
    </row>
    <row r="28" spans="3:20" ht="27" customHeight="1" thickBot="1" x14ac:dyDescent="0.3">
      <c r="C28" s="399" t="s">
        <v>329</v>
      </c>
      <c r="D28" s="400"/>
      <c r="E28" s="400"/>
      <c r="F28" s="400"/>
      <c r="G28" s="400"/>
      <c r="H28" s="400"/>
      <c r="I28" s="400"/>
      <c r="J28" s="401"/>
      <c r="K28" s="237">
        <v>1420</v>
      </c>
      <c r="L28" s="367">
        <f>+'[15]BASE IMPONIBLE'!G44</f>
        <v>0</v>
      </c>
      <c r="M28" s="367"/>
      <c r="N28" s="367"/>
      <c r="O28" s="367"/>
      <c r="P28" s="367"/>
      <c r="Q28" s="398" t="s">
        <v>315</v>
      </c>
    </row>
    <row r="29" spans="3:20" ht="27" customHeight="1" thickBot="1" x14ac:dyDescent="0.3">
      <c r="C29" s="399" t="s">
        <v>371</v>
      </c>
      <c r="D29" s="400"/>
      <c r="E29" s="400"/>
      <c r="F29" s="400"/>
      <c r="G29" s="400"/>
      <c r="H29" s="400"/>
      <c r="I29" s="400"/>
      <c r="J29" s="401"/>
      <c r="K29" s="237">
        <v>1421</v>
      </c>
      <c r="L29" s="367"/>
      <c r="M29" s="367"/>
      <c r="N29" s="367"/>
      <c r="O29" s="367"/>
      <c r="P29" s="367"/>
      <c r="Q29" s="398" t="s">
        <v>315</v>
      </c>
    </row>
    <row r="30" spans="3:20" ht="27" customHeight="1" thickBot="1" x14ac:dyDescent="0.3">
      <c r="C30" s="399" t="s">
        <v>372</v>
      </c>
      <c r="D30" s="400"/>
      <c r="E30" s="400"/>
      <c r="F30" s="400"/>
      <c r="G30" s="400"/>
      <c r="H30" s="400"/>
      <c r="I30" s="400"/>
      <c r="J30" s="401"/>
      <c r="K30" s="237">
        <v>1422</v>
      </c>
      <c r="L30" s="367"/>
      <c r="M30" s="367"/>
      <c r="N30" s="367"/>
      <c r="O30" s="367"/>
      <c r="P30" s="367"/>
      <c r="Q30" s="398" t="s">
        <v>315</v>
      </c>
    </row>
    <row r="31" spans="3:20" ht="27" customHeight="1" thickBot="1" x14ac:dyDescent="0.3">
      <c r="C31" s="399" t="s">
        <v>334</v>
      </c>
      <c r="D31" s="400"/>
      <c r="E31" s="400"/>
      <c r="F31" s="400"/>
      <c r="G31" s="400"/>
      <c r="H31" s="400"/>
      <c r="I31" s="400"/>
      <c r="J31" s="401"/>
      <c r="K31" s="237">
        <v>1423</v>
      </c>
      <c r="L31" s="367"/>
      <c r="M31" s="367"/>
      <c r="N31" s="367"/>
      <c r="O31" s="367"/>
      <c r="P31" s="367"/>
      <c r="Q31" s="398" t="s">
        <v>315</v>
      </c>
    </row>
    <row r="32" spans="3:20" ht="27" customHeight="1" thickBot="1" x14ac:dyDescent="0.3">
      <c r="C32" s="399" t="s">
        <v>373</v>
      </c>
      <c r="D32" s="400"/>
      <c r="E32" s="400"/>
      <c r="F32" s="400"/>
      <c r="G32" s="400"/>
      <c r="H32" s="400"/>
      <c r="I32" s="400"/>
      <c r="J32" s="401"/>
      <c r="K32" s="237">
        <v>1424</v>
      </c>
      <c r="L32" s="367"/>
      <c r="M32" s="367"/>
      <c r="N32" s="367"/>
      <c r="O32" s="367"/>
      <c r="P32" s="367"/>
      <c r="Q32" s="398" t="s">
        <v>315</v>
      </c>
    </row>
    <row r="33" spans="3:19" ht="35.450000000000003" customHeight="1" x14ac:dyDescent="0.25">
      <c r="C33" s="402" t="s">
        <v>336</v>
      </c>
      <c r="D33" s="403"/>
      <c r="E33" s="403"/>
      <c r="F33" s="403"/>
      <c r="G33" s="403"/>
      <c r="H33" s="403"/>
      <c r="I33" s="403"/>
      <c r="J33" s="403"/>
      <c r="K33" s="249">
        <v>1425</v>
      </c>
      <c r="L33" s="367">
        <f>+'[15]BASE IMPONIBLE'!G51</f>
        <v>0</v>
      </c>
      <c r="M33" s="367"/>
      <c r="N33" s="367"/>
      <c r="O33" s="367"/>
      <c r="P33" s="367"/>
      <c r="Q33" s="404" t="s">
        <v>315</v>
      </c>
    </row>
    <row r="34" spans="3:19" ht="27" customHeight="1" x14ac:dyDescent="0.25">
      <c r="C34" s="402" t="s">
        <v>337</v>
      </c>
      <c r="D34" s="403"/>
      <c r="E34" s="403"/>
      <c r="F34" s="403"/>
      <c r="G34" s="403"/>
      <c r="H34" s="403"/>
      <c r="I34" s="403"/>
      <c r="J34" s="403"/>
      <c r="K34" s="249">
        <v>1426</v>
      </c>
      <c r="L34" s="405"/>
      <c r="M34" s="405"/>
      <c r="N34" s="405"/>
      <c r="O34" s="405"/>
      <c r="P34" s="405"/>
      <c r="Q34" s="404" t="s">
        <v>315</v>
      </c>
      <c r="S34" s="348" t="s">
        <v>374</v>
      </c>
    </row>
    <row r="35" spans="3:19" ht="27" customHeight="1" x14ac:dyDescent="0.25">
      <c r="C35" s="406" t="s">
        <v>338</v>
      </c>
      <c r="D35" s="407"/>
      <c r="E35" s="407"/>
      <c r="F35" s="407"/>
      <c r="G35" s="407"/>
      <c r="H35" s="407"/>
      <c r="I35" s="407"/>
      <c r="J35" s="407"/>
      <c r="K35" s="249">
        <v>1427</v>
      </c>
      <c r="L35" s="408">
        <f>+'[15]BASE IMPONIBLE'!G53</f>
        <v>0</v>
      </c>
      <c r="M35" s="408"/>
      <c r="N35" s="408"/>
      <c r="O35" s="408"/>
      <c r="P35" s="408"/>
      <c r="Q35" s="404" t="s">
        <v>315</v>
      </c>
    </row>
    <row r="36" spans="3:19" ht="27" customHeight="1" thickBot="1" x14ac:dyDescent="0.3">
      <c r="C36" s="381" t="s">
        <v>339</v>
      </c>
      <c r="D36" s="382"/>
      <c r="E36" s="382"/>
      <c r="F36" s="382"/>
      <c r="G36" s="382"/>
      <c r="H36" s="382"/>
      <c r="I36" s="382"/>
      <c r="J36" s="382"/>
      <c r="K36" s="409">
        <v>1428</v>
      </c>
      <c r="L36" s="385">
        <f>+'[15]BASE IMPONIBLE'!G54</f>
        <v>0</v>
      </c>
      <c r="M36" s="385"/>
      <c r="N36" s="385"/>
      <c r="O36" s="385"/>
      <c r="P36" s="385"/>
      <c r="Q36" s="410" t="s">
        <v>315</v>
      </c>
    </row>
    <row r="37" spans="3:19" ht="27" customHeight="1" thickBot="1" x14ac:dyDescent="0.3">
      <c r="C37" s="388" t="s">
        <v>344</v>
      </c>
      <c r="D37" s="389"/>
      <c r="E37" s="389"/>
      <c r="F37" s="389"/>
      <c r="G37" s="389"/>
      <c r="H37" s="389"/>
      <c r="I37" s="389"/>
      <c r="J37" s="390"/>
      <c r="K37" s="287">
        <v>1430</v>
      </c>
      <c r="L37" s="411">
        <f>SUM(L14:P33)+L35+L36</f>
        <v>37099152.179799996</v>
      </c>
      <c r="M37" s="411"/>
      <c r="N37" s="411"/>
      <c r="O37" s="411"/>
      <c r="P37" s="411"/>
      <c r="Q37" s="392" t="s">
        <v>288</v>
      </c>
    </row>
    <row r="38" spans="3:19" ht="40.700000000000003" customHeight="1" thickBot="1" x14ac:dyDescent="0.3">
      <c r="C38" s="412" t="s">
        <v>345</v>
      </c>
      <c r="D38" s="413"/>
      <c r="E38" s="413"/>
      <c r="F38" s="413"/>
      <c r="G38" s="413"/>
      <c r="H38" s="413"/>
      <c r="I38" s="413"/>
      <c r="J38" s="413"/>
      <c r="K38" s="414">
        <v>1431</v>
      </c>
      <c r="L38" s="415"/>
      <c r="M38" s="415"/>
      <c r="N38" s="415"/>
      <c r="O38" s="415"/>
      <c r="P38" s="415"/>
      <c r="Q38" s="416" t="s">
        <v>290</v>
      </c>
    </row>
    <row r="39" spans="3:19" ht="56.45" customHeight="1" thickBot="1" x14ac:dyDescent="0.3">
      <c r="C39" s="417" t="s">
        <v>375</v>
      </c>
      <c r="D39" s="418"/>
      <c r="E39" s="418"/>
      <c r="F39" s="418"/>
      <c r="G39" s="418"/>
      <c r="H39" s="418"/>
      <c r="I39" s="418"/>
      <c r="J39" s="419"/>
      <c r="K39" s="287">
        <v>1729</v>
      </c>
      <c r="L39" s="420">
        <f>+L13-L37+L38</f>
        <v>-37099152.179799996</v>
      </c>
      <c r="M39" s="421"/>
      <c r="N39" s="421"/>
      <c r="O39" s="421"/>
      <c r="P39" s="422"/>
      <c r="Q39" s="392" t="s">
        <v>288</v>
      </c>
    </row>
    <row r="40" spans="3:19" ht="27" customHeight="1" x14ac:dyDescent="0.25">
      <c r="C40" s="406" t="s">
        <v>348</v>
      </c>
      <c r="D40" s="407"/>
      <c r="E40" s="407"/>
      <c r="F40" s="407"/>
      <c r="G40" s="407"/>
      <c r="H40" s="407"/>
      <c r="I40" s="407"/>
      <c r="J40" s="423"/>
      <c r="K40" s="249">
        <v>1432</v>
      </c>
      <c r="L40" s="408">
        <f>+'[15]BASE IMPONIBLE'!G67</f>
        <v>0</v>
      </c>
      <c r="M40" s="408"/>
      <c r="N40" s="408"/>
      <c r="O40" s="408"/>
      <c r="P40" s="408"/>
      <c r="Q40" s="404" t="s">
        <v>315</v>
      </c>
    </row>
    <row r="41" spans="3:19" ht="27" customHeight="1" thickBot="1" x14ac:dyDescent="0.3">
      <c r="C41" s="381" t="s">
        <v>349</v>
      </c>
      <c r="D41" s="382"/>
      <c r="E41" s="382"/>
      <c r="F41" s="382"/>
      <c r="G41" s="382"/>
      <c r="H41" s="382"/>
      <c r="I41" s="382"/>
      <c r="J41" s="424"/>
      <c r="K41" s="409">
        <v>1433</v>
      </c>
      <c r="L41" s="408">
        <f>+'[15]BASE IMPONIBLE'!G68</f>
        <v>0</v>
      </c>
      <c r="M41" s="408"/>
      <c r="N41" s="408"/>
      <c r="O41" s="408"/>
      <c r="P41" s="408"/>
      <c r="Q41" s="410" t="s">
        <v>315</v>
      </c>
    </row>
    <row r="42" spans="3:19" ht="41.45" customHeight="1" thickBot="1" x14ac:dyDescent="0.3">
      <c r="C42" s="417" t="s">
        <v>350</v>
      </c>
      <c r="D42" s="418"/>
      <c r="E42" s="418"/>
      <c r="F42" s="418"/>
      <c r="G42" s="418"/>
      <c r="H42" s="418"/>
      <c r="I42" s="418"/>
      <c r="J42" s="418"/>
      <c r="K42" s="287">
        <v>1440</v>
      </c>
      <c r="L42" s="391">
        <f>+L39-L40-L41</f>
        <v>-37099152.179799996</v>
      </c>
      <c r="M42" s="391"/>
      <c r="N42" s="391"/>
      <c r="O42" s="391"/>
      <c r="P42" s="391"/>
      <c r="Q42" s="392" t="s">
        <v>288</v>
      </c>
    </row>
    <row r="43" spans="3:19" ht="27" customHeight="1" thickBot="1" x14ac:dyDescent="0.3">
      <c r="C43" s="425" t="s">
        <v>376</v>
      </c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7"/>
    </row>
    <row r="44" spans="3:19" ht="27" customHeight="1" x14ac:dyDescent="0.25">
      <c r="C44" s="393" t="s">
        <v>352</v>
      </c>
      <c r="D44" s="394"/>
      <c r="E44" s="394"/>
      <c r="F44" s="394"/>
      <c r="G44" s="394"/>
      <c r="H44" s="394"/>
      <c r="I44" s="394"/>
      <c r="J44" s="395"/>
      <c r="K44" s="232">
        <v>1434</v>
      </c>
      <c r="L44" s="367"/>
      <c r="M44" s="367"/>
      <c r="N44" s="367"/>
      <c r="O44" s="367"/>
      <c r="P44" s="367"/>
      <c r="Q44" s="369" t="s">
        <v>290</v>
      </c>
    </row>
    <row r="45" spans="3:19" ht="40.700000000000003" customHeight="1" thickBot="1" x14ac:dyDescent="0.3">
      <c r="C45" s="381" t="s">
        <v>353</v>
      </c>
      <c r="D45" s="382"/>
      <c r="E45" s="382"/>
      <c r="F45" s="382"/>
      <c r="G45" s="382"/>
      <c r="H45" s="382"/>
      <c r="I45" s="382"/>
      <c r="J45" s="382"/>
      <c r="K45" s="409">
        <v>1435</v>
      </c>
      <c r="L45" s="385"/>
      <c r="M45" s="385"/>
      <c r="N45" s="385"/>
      <c r="O45" s="385"/>
      <c r="P45" s="385"/>
      <c r="Q45" s="387" t="s">
        <v>290</v>
      </c>
    </row>
    <row r="46" spans="3:19" ht="27" customHeight="1" thickBot="1" x14ac:dyDescent="0.3">
      <c r="C46" s="417" t="s">
        <v>354</v>
      </c>
      <c r="D46" s="418"/>
      <c r="E46" s="418"/>
      <c r="F46" s="418"/>
      <c r="G46" s="418"/>
      <c r="H46" s="418"/>
      <c r="I46" s="418"/>
      <c r="J46" s="419"/>
      <c r="K46" s="287">
        <v>1450</v>
      </c>
      <c r="L46" s="391"/>
      <c r="M46" s="391"/>
      <c r="N46" s="391"/>
      <c r="O46" s="391"/>
      <c r="P46" s="391"/>
      <c r="Q46" s="392" t="s">
        <v>288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L7:P7"/>
    <mergeCell ref="C8:J8"/>
    <mergeCell ref="L8:P8"/>
    <mergeCell ref="C9:J9"/>
    <mergeCell ref="L9:P9"/>
    <mergeCell ref="C10:J10"/>
    <mergeCell ref="L10:P10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antecedentes</vt:lpstr>
      <vt:lpstr>LIBRO REMUNERACIONES</vt:lpstr>
      <vt:lpstr>certificado sueldo</vt:lpstr>
      <vt:lpstr>F1887</vt:lpstr>
      <vt:lpstr>balance 2023 </vt:lpstr>
      <vt:lpstr>base imponible  at 2024</vt:lpstr>
      <vt:lpstr>R17 14 D3</vt:lpstr>
      <vt:lpstr>'R17 14 D3'!Área_de_impresión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Andrea Correa Osses</dc:creator>
  <cp:lastModifiedBy>ACER_ASPIRE</cp:lastModifiedBy>
  <dcterms:created xsi:type="dcterms:W3CDTF">2023-08-16T21:39:25Z</dcterms:created>
  <dcterms:modified xsi:type="dcterms:W3CDTF">2024-01-08T12:01:40Z</dcterms:modified>
</cp:coreProperties>
</file>