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410" windowHeight="7545" activeTab="1"/>
  </bookViews>
  <sheets>
    <sheet name="ddjj1847 31122021" sheetId="50" r:id="rId1"/>
    <sheet name="balance 2022 inicial " sheetId="15" r:id="rId2"/>
    <sheet name="activo no corriente 2022 " sheetId="18" r:id="rId3"/>
    <sheet name="costo existencias" sheetId="57" r:id="rId4"/>
    <sheet name="prov vacaciones 2022 y 2023" sheetId="21" r:id="rId5"/>
    <sheet name="ajustes 2022" sheetId="16" r:id="rId6"/>
    <sheet name="balance 2022 antes de impuesto" sheetId="48" r:id="rId7"/>
    <sheet name="RLI AT 2023" sheetId="49" r:id="rId8"/>
    <sheet name="ajustes 2022 renta" sheetId="55" r:id="rId9"/>
    <sheet name="balance 2022 final " sheetId="53" r:id="rId10"/>
    <sheet name="RLI AT 2023 FINAL " sheetId="58" r:id="rId11"/>
    <sheet name="R14 AT2023" sheetId="52" r:id="rId12"/>
    <sheet name="ddjj1847 31122022" sheetId="51" r:id="rId13"/>
    <sheet name="leasing 2023" sheetId="24" r:id="rId14"/>
    <sheet name="activo no corriente 2023" sheetId="59" r:id="rId15"/>
    <sheet name="Libro Diario 2023 " sheetId="8" r:id="rId16"/>
    <sheet name="balance 2023 " sheetId="60" r:id="rId17"/>
    <sheet name="RLI AT 2024" sheetId="61" r:id="rId18"/>
    <sheet name="cuentas T 2023" sheetId="6" r:id="rId19"/>
    <sheet name="ESF Clasif 2023" sheetId="28" r:id="rId20"/>
    <sheet name="ER Funcion 2023" sheetId="29" r:id="rId21"/>
    <sheet name="Flujo Caja 2023" sheetId="31" r:id="rId22"/>
    <sheet name="Estado Cambio Patrimonial " sheetId="40" r:id="rId23"/>
  </sheets>
  <externalReferences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\b" localSheetId="2">#REF!</definedName>
    <definedName name="\b" localSheetId="14">#REF!</definedName>
    <definedName name="\b" localSheetId="8">#REF!</definedName>
    <definedName name="\b" localSheetId="6">#REF!</definedName>
    <definedName name="\b" localSheetId="9">#REF!</definedName>
    <definedName name="\b" localSheetId="1">#REF!</definedName>
    <definedName name="\b" localSheetId="16">#REF!</definedName>
    <definedName name="\b" localSheetId="3">#REF!</definedName>
    <definedName name="\b" localSheetId="0">#REF!</definedName>
    <definedName name="\b" localSheetId="12">#REF!</definedName>
    <definedName name="\b" localSheetId="20">#REF!</definedName>
    <definedName name="\b" localSheetId="19">#REF!</definedName>
    <definedName name="\b" localSheetId="21">#REF!</definedName>
    <definedName name="\b" localSheetId="7">#REF!</definedName>
    <definedName name="\b" localSheetId="10">#REF!</definedName>
    <definedName name="\b" localSheetId="17">#REF!</definedName>
    <definedName name="\b">#REF!</definedName>
    <definedName name="\z" localSheetId="2">#REF!</definedName>
    <definedName name="\z" localSheetId="14">#REF!</definedName>
    <definedName name="\z" localSheetId="8">#REF!</definedName>
    <definedName name="\z" localSheetId="6">#REF!</definedName>
    <definedName name="\z" localSheetId="9">#REF!</definedName>
    <definedName name="\z" localSheetId="1">#REF!</definedName>
    <definedName name="\z" localSheetId="16">#REF!</definedName>
    <definedName name="\z" localSheetId="3">#REF!</definedName>
    <definedName name="\z" localSheetId="0">#REF!</definedName>
    <definedName name="\z" localSheetId="12">#REF!</definedName>
    <definedName name="\z" localSheetId="21">#REF!</definedName>
    <definedName name="\z" localSheetId="7">#REF!</definedName>
    <definedName name="\z" localSheetId="10">#REF!</definedName>
    <definedName name="\z" localSheetId="17">#REF!</definedName>
    <definedName name="\z">#REF!</definedName>
    <definedName name="__??" hidden="1">{#N/A,#N/A,FALSE,"Cover (Japan)";#N/A,#N/A,FALSE,"Index";#N/A,#N/A,FALSE,"Comment sum"}</definedName>
    <definedName name="___??" hidden="1">{#N/A,#N/A,FALSE,"Cover (Japan)";#N/A,#N/A,FALSE,"Index";#N/A,#N/A,FALSE,"Comment sum"}</definedName>
    <definedName name="____??" hidden="1">{#N/A,#N/A,FALSE,"Cover (Japan)";#N/A,#N/A,FALSE,"Index";#N/A,#N/A,FALSE,"Comment sum"}</definedName>
    <definedName name="_____??" hidden="1">{#N/A,#N/A,FALSE,"Cover (Japan)";#N/A,#N/A,FALSE,"Index";#N/A,#N/A,FALSE,"Comment sum"}</definedName>
    <definedName name="______??" hidden="1">{#N/A,#N/A,FALSE,"Cover (Japan)";#N/A,#N/A,FALSE,"Index";#N/A,#N/A,FALSE,"Comment sum"}</definedName>
    <definedName name="___________PPM1" hidden="1">{#N/A,#N/A,FALSE,"Aging Summary";#N/A,#N/A,FALSE,"Ratio Analysis";#N/A,#N/A,FALSE,"Test 120 Day Accts";#N/A,#N/A,FALSE,"Tickmarks"}</definedName>
    <definedName name="__________PPM1" hidden="1">{#N/A,#N/A,FALSE,"Aging Summary";#N/A,#N/A,FALSE,"Ratio Analysis";#N/A,#N/A,FALSE,"Test 120 Day Accts";#N/A,#N/A,FALSE,"Tickmarks"}</definedName>
    <definedName name="________A2" hidden="1">{#N/A,#N/A,FALSE,"Aging Summary";#N/A,#N/A,FALSE,"Ratio Analysis";#N/A,#N/A,FALSE,"Test 120 Day Accts";#N/A,#N/A,FALSE,"Tickmarks"}</definedName>
    <definedName name="________PPM1" hidden="1">{#N/A,#N/A,FALSE,"Aging Summary";#N/A,#N/A,FALSE,"Ratio Analysis";#N/A,#N/A,FALSE,"Test 120 Day Accts";#N/A,#N/A,FALSE,"Tickmarks"}</definedName>
    <definedName name="_______A2" hidden="1">{#N/A,#N/A,FALSE,"Aging Summary";#N/A,#N/A,FALSE,"Ratio Analysis";#N/A,#N/A,FALSE,"Test 120 Day Accts";#N/A,#N/A,FALSE,"Tickmarks"}</definedName>
    <definedName name="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fut2" hidden="1">{#N/A,#N/A,FALSE,"Aging Summary";#N/A,#N/A,FALSE,"Ratio Analysis";#N/A,#N/A,FALSE,"Test 120 Day Accts";#N/A,#N/A,FALSE,"Tickmarks"}</definedName>
    <definedName name="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PPM1" hidden="1">{#N/A,#N/A,FALSE,"Aging Summary";#N/A,#N/A,FALSE,"Ratio Analysis";#N/A,#N/A,FALSE,"Test 120 Day Accts";#N/A,#N/A,FALSE,"Tickmarks"}</definedName>
    <definedName name="______pt8" hidden="1">{#N/A,#N/A,FALSE,"Aging Summary";#N/A,#N/A,FALSE,"Ratio Analysis";#N/A,#N/A,FALSE,"Test 120 Day Accts";#N/A,#N/A,FALSE,"Tickmarks"}</definedName>
    <definedName name="______t4" hidden="1">{#N/A,#N/A,FALSE,"Aging Summary";#N/A,#N/A,FALSE,"Ratio Analysis";#N/A,#N/A,FALSE,"Test 120 Day Accts";#N/A,#N/A,FALSE,"Tickmarks"}</definedName>
    <definedName name="_____A2" hidden="1">{#N/A,#N/A,FALSE,"Aging Summary";#N/A,#N/A,FALSE,"Ratio Analysis";#N/A,#N/A,FALSE,"Test 120 Day Accts";#N/A,#N/A,FALSE,"Tickmarks"}</definedName>
    <definedName name="_____fut2" hidden="1">{#N/A,#N/A,FALSE,"Aging Summary";#N/A,#N/A,FALSE,"Ratio Analysis";#N/A,#N/A,FALSE,"Test 120 Day Accts";#N/A,#N/A,FALSE,"Tickmarks"}</definedName>
    <definedName name="_____PPM1" hidden="1">{#N/A,#N/A,FALSE,"Aging Summary";#N/A,#N/A,FALSE,"Ratio Analysis";#N/A,#N/A,FALSE,"Test 120 Day Accts";#N/A,#N/A,FALSE,"Tickmarks"}</definedName>
    <definedName name="_____pt8" hidden="1">{#N/A,#N/A,FALSE,"Aging Summary";#N/A,#N/A,FALSE,"Ratio Analysis";#N/A,#N/A,FALSE,"Test 120 Day Accts";#N/A,#N/A,FALSE,"Tickmarks"}</definedName>
    <definedName name="_____t4" hidden="1">{#N/A,#N/A,FALSE,"Aging Summary";#N/A,#N/A,FALSE,"Ratio Analysis";#N/A,#N/A,FALSE,"Test 120 Day Accts";#N/A,#N/A,FALSE,"Tickmarks"}</definedName>
    <definedName name="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PPM1" hidden="1">{#N/A,#N/A,FALSE,"Aging Summary";#N/A,#N/A,FALSE,"Ratio Analysis";#N/A,#N/A,FALSE,"Test 120 Day Accts";#N/A,#N/A,FALSE,"Tickmarks"}</definedName>
    <definedName name="___A2" hidden="1">{#N/A,#N/A,FALSE,"Aging Summary";#N/A,#N/A,FALSE,"Ratio Analysis";#N/A,#N/A,FALSE,"Test 120 Day Accts";#N/A,#N/A,FALSE,"Tickmarks"}</definedName>
    <definedName name="___fut2" hidden="1">{#N/A,#N/A,FALSE,"Aging Summary";#N/A,#N/A,FALSE,"Ratio Analysis";#N/A,#N/A,FALSE,"Test 120 Day Accts";#N/A,#N/A,FALSE,"Tickmarks"}</definedName>
    <definedName name="___PPM1" hidden="1">{#N/A,#N/A,FALSE,"Aging Summary";#N/A,#N/A,FALSE,"Ratio Analysis";#N/A,#N/A,FALSE,"Test 120 Day Accts";#N/A,#N/A,FALSE,"Tickmarks"}</definedName>
    <definedName name="___pt8" hidden="1">{#N/A,#N/A,FALSE,"Aging Summary";#N/A,#N/A,FALSE,"Ratio Analysis";#N/A,#N/A,FALSE,"Test 120 Day Accts";#N/A,#N/A,FALSE,"Tickmarks"}</definedName>
    <definedName name="___t4" hidden="1">{#N/A,#N/A,FALSE,"Aging Summary";#N/A,#N/A,FALSE,"Ratio Analysis";#N/A,#N/A,FALSE,"Test 120 Day Accts";#N/A,#N/A,FALSE,"Tickmarks"}</definedName>
    <definedName name="__123Graph_A" localSheetId="14" hidden="1">'[1]1st Quarter'!#REF!</definedName>
    <definedName name="__123Graph_A" localSheetId="8" hidden="1">'[1]1st Quarter'!#REF!</definedName>
    <definedName name="__123Graph_A" localSheetId="6" hidden="1">'[1]1st Quarter'!#REF!</definedName>
    <definedName name="__123Graph_A" localSheetId="9" hidden="1">'[1]1st Quarter'!#REF!</definedName>
    <definedName name="__123Graph_A" localSheetId="16" hidden="1">'[1]1st Quarter'!#REF!</definedName>
    <definedName name="__123Graph_A" localSheetId="3" hidden="1">'[1]1st Quarter'!#REF!</definedName>
    <definedName name="__123Graph_A" localSheetId="12" hidden="1">'[1]1st Quarter'!#REF!</definedName>
    <definedName name="__123Graph_A" localSheetId="21" hidden="1">'[1]1st Quarter'!#REF!</definedName>
    <definedName name="__123Graph_A" localSheetId="10" hidden="1">'[1]1st Quarter'!#REF!</definedName>
    <definedName name="__123Graph_A" localSheetId="17" hidden="1">'[1]1st Quarter'!#REF!</definedName>
    <definedName name="__123Graph_A" hidden="1">'[1]1st Quarter'!#REF!</definedName>
    <definedName name="__123Graph_B" localSheetId="14" hidden="1">'[1]1st Quarter'!#REF!</definedName>
    <definedName name="__123Graph_B" localSheetId="8" hidden="1">'[1]1st Quarter'!#REF!</definedName>
    <definedName name="__123Graph_B" localSheetId="6" hidden="1">'[1]1st Quarter'!#REF!</definedName>
    <definedName name="__123Graph_B" localSheetId="9" hidden="1">'[1]1st Quarter'!#REF!</definedName>
    <definedName name="__123Graph_B" localSheetId="16" hidden="1">'[1]1st Quarter'!#REF!</definedName>
    <definedName name="__123Graph_B" localSheetId="3" hidden="1">'[1]1st Quarter'!#REF!</definedName>
    <definedName name="__123Graph_B" localSheetId="12" hidden="1">'[1]1st Quarter'!#REF!</definedName>
    <definedName name="__123Graph_B" localSheetId="21" hidden="1">'[1]1st Quarter'!#REF!</definedName>
    <definedName name="__123Graph_B" localSheetId="10" hidden="1">'[1]1st Quarter'!#REF!</definedName>
    <definedName name="__123Graph_B" localSheetId="17" hidden="1">'[1]1st Quarter'!#REF!</definedName>
    <definedName name="__123Graph_B" hidden="1">'[1]1st Quarter'!#REF!</definedName>
    <definedName name="__123Graph_C" localSheetId="14" hidden="1">'[1]1st Quarter'!#REF!</definedName>
    <definedName name="__123Graph_C" localSheetId="8" hidden="1">'[1]1st Quarter'!#REF!</definedName>
    <definedName name="__123Graph_C" localSheetId="6" hidden="1">'[1]1st Quarter'!#REF!</definedName>
    <definedName name="__123Graph_C" localSheetId="9" hidden="1">'[1]1st Quarter'!#REF!</definedName>
    <definedName name="__123Graph_C" localSheetId="16" hidden="1">'[1]1st Quarter'!#REF!</definedName>
    <definedName name="__123Graph_C" localSheetId="3" hidden="1">'[1]1st Quarter'!#REF!</definedName>
    <definedName name="__123Graph_C" localSheetId="12" hidden="1">'[1]1st Quarter'!#REF!</definedName>
    <definedName name="__123Graph_C" localSheetId="21" hidden="1">'[1]1st Quarter'!#REF!</definedName>
    <definedName name="__123Graph_C" localSheetId="10" hidden="1">'[1]1st Quarter'!#REF!</definedName>
    <definedName name="__123Graph_C" localSheetId="17" hidden="1">'[1]1st Quarter'!#REF!</definedName>
    <definedName name="__123Graph_C" hidden="1">'[1]1st Quarter'!#REF!</definedName>
    <definedName name="__123Graph_D" localSheetId="14" hidden="1">'[1]1st Quarter'!#REF!</definedName>
    <definedName name="__123Graph_D" localSheetId="8" hidden="1">'[1]1st Quarter'!#REF!</definedName>
    <definedName name="__123Graph_D" localSheetId="6" hidden="1">'[1]1st Quarter'!#REF!</definedName>
    <definedName name="__123Graph_D" localSheetId="9" hidden="1">'[1]1st Quarter'!#REF!</definedName>
    <definedName name="__123Graph_D" localSheetId="16" hidden="1">'[1]1st Quarter'!#REF!</definedName>
    <definedName name="__123Graph_D" localSheetId="3" hidden="1">'[1]1st Quarter'!#REF!</definedName>
    <definedName name="__123Graph_D" localSheetId="12" hidden="1">'[1]1st Quarter'!#REF!</definedName>
    <definedName name="__123Graph_D" localSheetId="21" hidden="1">'[1]1st Quarter'!#REF!</definedName>
    <definedName name="__123Graph_D" localSheetId="10" hidden="1">'[1]1st Quarter'!#REF!</definedName>
    <definedName name="__123Graph_D" localSheetId="17" hidden="1">'[1]1st Quarter'!#REF!</definedName>
    <definedName name="__123Graph_D" hidden="1">'[1]1st Quarter'!#REF!</definedName>
    <definedName name="__123Graph_E" localSheetId="14" hidden="1">'[1]1st Quarter'!#REF!</definedName>
    <definedName name="__123Graph_E" localSheetId="8" hidden="1">'[1]1st Quarter'!#REF!</definedName>
    <definedName name="__123Graph_E" localSheetId="6" hidden="1">'[1]1st Quarter'!#REF!</definedName>
    <definedName name="__123Graph_E" localSheetId="9" hidden="1">'[1]1st Quarter'!#REF!</definedName>
    <definedName name="__123Graph_E" localSheetId="16" hidden="1">'[1]1st Quarter'!#REF!</definedName>
    <definedName name="__123Graph_E" localSheetId="3" hidden="1">'[1]1st Quarter'!#REF!</definedName>
    <definedName name="__123Graph_E" localSheetId="12" hidden="1">'[1]1st Quarter'!#REF!</definedName>
    <definedName name="__123Graph_E" localSheetId="21" hidden="1">'[1]1st Quarter'!#REF!</definedName>
    <definedName name="__123Graph_E" localSheetId="10" hidden="1">'[1]1st Quarter'!#REF!</definedName>
    <definedName name="__123Graph_E" localSheetId="17" hidden="1">'[1]1st Quarter'!#REF!</definedName>
    <definedName name="__123Graph_E" hidden="1">'[1]1st Quarter'!#REF!</definedName>
    <definedName name="__123Graph_F" localSheetId="14" hidden="1">'[1]1st Quarter'!#REF!</definedName>
    <definedName name="__123Graph_F" localSheetId="8" hidden="1">'[1]1st Quarter'!#REF!</definedName>
    <definedName name="__123Graph_F" localSheetId="6" hidden="1">'[1]1st Quarter'!#REF!</definedName>
    <definedName name="__123Graph_F" localSheetId="9" hidden="1">'[1]1st Quarter'!#REF!</definedName>
    <definedName name="__123Graph_F" localSheetId="16" hidden="1">'[1]1st Quarter'!#REF!</definedName>
    <definedName name="__123Graph_F" localSheetId="3" hidden="1">'[1]1st Quarter'!#REF!</definedName>
    <definedName name="__123Graph_F" localSheetId="12" hidden="1">'[1]1st Quarter'!#REF!</definedName>
    <definedName name="__123Graph_F" localSheetId="21" hidden="1">'[1]1st Quarter'!#REF!</definedName>
    <definedName name="__123Graph_F" localSheetId="10" hidden="1">'[1]1st Quarter'!#REF!</definedName>
    <definedName name="__123Graph_F" localSheetId="17" hidden="1">'[1]1st Quarter'!#REF!</definedName>
    <definedName name="__123Graph_F" hidden="1">'[1]1st Quarter'!#REF!</definedName>
    <definedName name="__123Graph_LBL_A" localSheetId="14" hidden="1">'[2]7_6'!#REF!</definedName>
    <definedName name="__123Graph_LBL_A" localSheetId="8" hidden="1">'[2]7_6'!#REF!</definedName>
    <definedName name="__123Graph_LBL_A" localSheetId="6" hidden="1">'[2]7_6'!#REF!</definedName>
    <definedName name="__123Graph_LBL_A" localSheetId="9" hidden="1">'[2]7_6'!#REF!</definedName>
    <definedName name="__123Graph_LBL_A" localSheetId="16" hidden="1">'[2]7_6'!#REF!</definedName>
    <definedName name="__123Graph_LBL_A" localSheetId="3" hidden="1">'[2]7_6'!#REF!</definedName>
    <definedName name="__123Graph_LBL_A" localSheetId="12" hidden="1">'[2]7_6'!#REF!</definedName>
    <definedName name="__123Graph_LBL_A" localSheetId="21" hidden="1">'[2]7_6'!#REF!</definedName>
    <definedName name="__123Graph_LBL_A" localSheetId="10" hidden="1">'[2]7_6'!#REF!</definedName>
    <definedName name="__123Graph_LBL_A" localSheetId="17" hidden="1">'[2]7_6'!#REF!</definedName>
    <definedName name="__123Graph_LBL_A" hidden="1">'[2]7_6'!#REF!</definedName>
    <definedName name="__123Graph_LBL_AGraph1" localSheetId="14" hidden="1">'[2]7_6'!#REF!</definedName>
    <definedName name="__123Graph_LBL_AGraph1" localSheetId="8" hidden="1">'[2]7_6'!#REF!</definedName>
    <definedName name="__123Graph_LBL_AGraph1" localSheetId="6" hidden="1">'[2]7_6'!#REF!</definedName>
    <definedName name="__123Graph_LBL_AGraph1" localSheetId="9" hidden="1">'[2]7_6'!#REF!</definedName>
    <definedName name="__123Graph_LBL_AGraph1" localSheetId="16" hidden="1">'[2]7_6'!#REF!</definedName>
    <definedName name="__123Graph_LBL_AGraph1" localSheetId="3" hidden="1">'[2]7_6'!#REF!</definedName>
    <definedName name="__123Graph_LBL_AGraph1" localSheetId="12" hidden="1">'[2]7_6'!#REF!</definedName>
    <definedName name="__123Graph_LBL_AGraph1" localSheetId="21" hidden="1">'[2]7_6'!#REF!</definedName>
    <definedName name="__123Graph_LBL_AGraph1" localSheetId="10" hidden="1">'[2]7_6'!#REF!</definedName>
    <definedName name="__123Graph_LBL_AGraph1" localSheetId="17" hidden="1">'[2]7_6'!#REF!</definedName>
    <definedName name="__123Graph_LBL_AGraph1" hidden="1">'[2]7_6'!#REF!</definedName>
    <definedName name="__123Graph_LBL_B" localSheetId="14" hidden="1">'[2]7_6'!#REF!</definedName>
    <definedName name="__123Graph_LBL_B" localSheetId="8" hidden="1">'[2]7_6'!#REF!</definedName>
    <definedName name="__123Graph_LBL_B" localSheetId="6" hidden="1">'[2]7_6'!#REF!</definedName>
    <definedName name="__123Graph_LBL_B" localSheetId="9" hidden="1">'[2]7_6'!#REF!</definedName>
    <definedName name="__123Graph_LBL_B" localSheetId="16" hidden="1">'[2]7_6'!#REF!</definedName>
    <definedName name="__123Graph_LBL_B" localSheetId="3" hidden="1">'[2]7_6'!#REF!</definedName>
    <definedName name="__123Graph_LBL_B" localSheetId="12" hidden="1">'[2]7_6'!#REF!</definedName>
    <definedName name="__123Graph_LBL_B" localSheetId="21" hidden="1">'[2]7_6'!#REF!</definedName>
    <definedName name="__123Graph_LBL_B" localSheetId="10" hidden="1">'[2]7_6'!#REF!</definedName>
    <definedName name="__123Graph_LBL_B" localSheetId="17" hidden="1">'[2]7_6'!#REF!</definedName>
    <definedName name="__123Graph_LBL_B" hidden="1">'[2]7_6'!#REF!</definedName>
    <definedName name="__123Graph_LBL_BGraph1" localSheetId="14" hidden="1">'[2]7_6'!#REF!</definedName>
    <definedName name="__123Graph_LBL_BGraph1" localSheetId="8" hidden="1">'[2]7_6'!#REF!</definedName>
    <definedName name="__123Graph_LBL_BGraph1" localSheetId="6" hidden="1">'[2]7_6'!#REF!</definedName>
    <definedName name="__123Graph_LBL_BGraph1" localSheetId="9" hidden="1">'[2]7_6'!#REF!</definedName>
    <definedName name="__123Graph_LBL_BGraph1" localSheetId="16" hidden="1">'[2]7_6'!#REF!</definedName>
    <definedName name="__123Graph_LBL_BGraph1" localSheetId="3" hidden="1">'[2]7_6'!#REF!</definedName>
    <definedName name="__123Graph_LBL_BGraph1" localSheetId="12" hidden="1">'[2]7_6'!#REF!</definedName>
    <definedName name="__123Graph_LBL_BGraph1" localSheetId="21" hidden="1">'[2]7_6'!#REF!</definedName>
    <definedName name="__123Graph_LBL_BGraph1" localSheetId="10" hidden="1">'[2]7_6'!#REF!</definedName>
    <definedName name="__123Graph_LBL_BGraph1" localSheetId="17" hidden="1">'[2]7_6'!#REF!</definedName>
    <definedName name="__123Graph_LBL_BGraph1" hidden="1">'[2]7_6'!#REF!</definedName>
    <definedName name="__123Graph_X" localSheetId="14" hidden="1">'[1]1st Quarter'!#REF!</definedName>
    <definedName name="__123Graph_X" localSheetId="8" hidden="1">'[1]1st Quarter'!#REF!</definedName>
    <definedName name="__123Graph_X" localSheetId="6" hidden="1">'[1]1st Quarter'!#REF!</definedName>
    <definedName name="__123Graph_X" localSheetId="9" hidden="1">'[1]1st Quarter'!#REF!</definedName>
    <definedName name="__123Graph_X" localSheetId="16" hidden="1">'[1]1st Quarter'!#REF!</definedName>
    <definedName name="__123Graph_X" localSheetId="3" hidden="1">'[1]1st Quarter'!#REF!</definedName>
    <definedName name="__123Graph_X" localSheetId="12" hidden="1">'[1]1st Quarter'!#REF!</definedName>
    <definedName name="__123Graph_X" localSheetId="21" hidden="1">'[1]1st Quarter'!#REF!</definedName>
    <definedName name="__123Graph_X" localSheetId="10" hidden="1">'[1]1st Quarter'!#REF!</definedName>
    <definedName name="__123Graph_X" localSheetId="17" hidden="1">'[1]1st Quarter'!#REF!</definedName>
    <definedName name="__123Graph_X" hidden="1">'[1]1st Quarter'!#REF!</definedName>
    <definedName name="__A2" hidden="1">{#N/A,#N/A,FALSE,"Aging Summary";#N/A,#N/A,FALSE,"Ratio Analysis";#N/A,#N/A,FALSE,"Test 120 Day Accts";#N/A,#N/A,FALSE,"Tickmarks"}</definedName>
    <definedName name="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fut2" hidden="1">{#N/A,#N/A,FALSE,"Aging Summary";#N/A,#N/A,FALSE,"Ratio Analysis";#N/A,#N/A,FALSE,"Test 120 Day Accts";#N/A,#N/A,FALSE,"Tickmarks"}</definedName>
    <definedName name="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PPM1" hidden="1">{#N/A,#N/A,FALSE,"Aging Summary";#N/A,#N/A,FALSE,"Ratio Analysis";#N/A,#N/A,FALSE,"Test 120 Day Accts";#N/A,#N/A,FALSE,"Tickmarks"}</definedName>
    <definedName name="__pt8" hidden="1">{#N/A,#N/A,FALSE,"Aging Summary";#N/A,#N/A,FALSE,"Ratio Analysis";#N/A,#N/A,FALSE,"Test 120 Day Accts";#N/A,#N/A,FALSE,"Tickmarks"}</definedName>
    <definedName name="__t4" hidden="1">{#N/A,#N/A,FALSE,"Aging Summary";#N/A,#N/A,FALSE,"Ratio Analysis";#N/A,#N/A,FALSE,"Test 120 Day Accts";#N/A,#N/A,FALSE,"Tickmarks"}</definedName>
    <definedName name="__xlfn_BAHTTEXT">#N/A</definedName>
    <definedName name="_123Graph_D" hidden="1">[3]Exh5_1!$D$26:$D$27</definedName>
    <definedName name="_2_??" hidden="1">{#N/A,#N/A,FALSE,"Cover (Japan)";#N/A,#N/A,FALSE,"Index";#N/A,#N/A,FALSE,"Comment sum"}</definedName>
    <definedName name="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Dist_Values" localSheetId="14" hidden="1">#REF!</definedName>
    <definedName name="_Dist_Values" localSheetId="8" hidden="1">#REF!</definedName>
    <definedName name="_Dist_Values" localSheetId="6" hidden="1">#REF!</definedName>
    <definedName name="_Dist_Values" localSheetId="9" hidden="1">#REF!</definedName>
    <definedName name="_Dist_Values" localSheetId="16" hidden="1">#REF!</definedName>
    <definedName name="_Dist_Values" localSheetId="3" hidden="1">#REF!</definedName>
    <definedName name="_Dist_Values" localSheetId="12" hidden="1">#REF!</definedName>
    <definedName name="_Dist_Values" localSheetId="21" hidden="1">#REF!</definedName>
    <definedName name="_Dist_Values" localSheetId="10" hidden="1">#REF!</definedName>
    <definedName name="_Dist_Values" localSheetId="17" hidden="1">#REF!</definedName>
    <definedName name="_Dist_Values" hidden="1">#REF!</definedName>
    <definedName name="_Fill" localSheetId="14" hidden="1">#REF!</definedName>
    <definedName name="_Fill" localSheetId="8" hidden="1">#REF!</definedName>
    <definedName name="_Fill" localSheetId="6" hidden="1">#REF!</definedName>
    <definedName name="_Fill" localSheetId="9" hidden="1">#REF!</definedName>
    <definedName name="_Fill" localSheetId="16" hidden="1">#REF!</definedName>
    <definedName name="_Fill" localSheetId="3" hidden="1">#REF!</definedName>
    <definedName name="_Fill" localSheetId="12" hidden="1">#REF!</definedName>
    <definedName name="_Fill" localSheetId="21" hidden="1">#REF!</definedName>
    <definedName name="_Fill" localSheetId="10" hidden="1">#REF!</definedName>
    <definedName name="_Fill" localSheetId="17" hidden="1">#REF!</definedName>
    <definedName name="_Fill" hidden="1">#REF!</definedName>
    <definedName name="_fut2" hidden="1">{#N/A,#N/A,FALSE,"Aging Summary";#N/A,#N/A,FALSE,"Ratio Analysis";#N/A,#N/A,FALSE,"Test 120 Day Accts";#N/A,#N/A,FALSE,"Tickmarks"}</definedName>
    <definedName name="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Key01" localSheetId="14" hidden="1">[4]UF!#REF!</definedName>
    <definedName name="_Key01" localSheetId="8" hidden="1">[4]UF!#REF!</definedName>
    <definedName name="_Key01" localSheetId="6" hidden="1">[4]UF!#REF!</definedName>
    <definedName name="_Key01" localSheetId="9" hidden="1">[4]UF!#REF!</definedName>
    <definedName name="_Key01" localSheetId="16" hidden="1">[4]UF!#REF!</definedName>
    <definedName name="_Key01" localSheetId="3" hidden="1">[4]UF!#REF!</definedName>
    <definedName name="_Key01" localSheetId="12" hidden="1">[4]UF!#REF!</definedName>
    <definedName name="_Key01" localSheetId="21" hidden="1">[4]UF!#REF!</definedName>
    <definedName name="_Key01" localSheetId="10" hidden="1">[4]UF!#REF!</definedName>
    <definedName name="_Key01" localSheetId="17" hidden="1">[4]UF!#REF!</definedName>
    <definedName name="_Key01" hidden="1">[4]UF!#REF!</definedName>
    <definedName name="_Key1" localSheetId="14" hidden="1">#REF!</definedName>
    <definedName name="_Key1" localSheetId="8" hidden="1">#REF!</definedName>
    <definedName name="_Key1" localSheetId="6" hidden="1">#REF!</definedName>
    <definedName name="_Key1" localSheetId="9" hidden="1">#REF!</definedName>
    <definedName name="_Key1" localSheetId="16" hidden="1">#REF!</definedName>
    <definedName name="_Key1" localSheetId="3" hidden="1">#REF!</definedName>
    <definedName name="_Key1" localSheetId="12" hidden="1">#REF!</definedName>
    <definedName name="_Key1" localSheetId="21" hidden="1">#REF!</definedName>
    <definedName name="_Key1" localSheetId="10" hidden="1">#REF!</definedName>
    <definedName name="_Key1" localSheetId="17" hidden="1">#REF!</definedName>
    <definedName name="_Key1" hidden="1">#REF!</definedName>
    <definedName name="_Key2" localSheetId="14" hidden="1">#REF!</definedName>
    <definedName name="_Key2" localSheetId="8" hidden="1">#REF!</definedName>
    <definedName name="_Key2" localSheetId="6" hidden="1">#REF!</definedName>
    <definedName name="_Key2" localSheetId="9" hidden="1">#REF!</definedName>
    <definedName name="_Key2" localSheetId="16" hidden="1">#REF!</definedName>
    <definedName name="_Key2" localSheetId="3" hidden="1">#REF!</definedName>
    <definedName name="_Key2" localSheetId="12" hidden="1">#REF!</definedName>
    <definedName name="_Key2" localSheetId="21" hidden="1">#REF!</definedName>
    <definedName name="_Key2" localSheetId="10" hidden="1">#REF!</definedName>
    <definedName name="_Key2" localSheetId="17" hidden="1">#REF!</definedName>
    <definedName name="_Key2" hidden="1">#REF!</definedName>
    <definedName name="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Order1" hidden="1">255</definedName>
    <definedName name="_Order2" hidden="1">255</definedName>
    <definedName name="_Parse_Out" localSheetId="14" hidden="1">#REF!</definedName>
    <definedName name="_Parse_Out" localSheetId="8" hidden="1">#REF!</definedName>
    <definedName name="_Parse_Out" localSheetId="6" hidden="1">#REF!</definedName>
    <definedName name="_Parse_Out" localSheetId="9" hidden="1">#REF!</definedName>
    <definedName name="_Parse_Out" localSheetId="16" hidden="1">#REF!</definedName>
    <definedName name="_Parse_Out" localSheetId="3" hidden="1">#REF!</definedName>
    <definedName name="_Parse_Out" localSheetId="12" hidden="1">#REF!</definedName>
    <definedName name="_Parse_Out" localSheetId="21" hidden="1">#REF!</definedName>
    <definedName name="_Parse_Out" localSheetId="10" hidden="1">#REF!</definedName>
    <definedName name="_Parse_Out" localSheetId="17" hidden="1">#REF!</definedName>
    <definedName name="_Parse_Out" hidden="1">#REF!</definedName>
    <definedName name="_PPM1" hidden="1">{#N/A,#N/A,FALSE,"Aging Summary";#N/A,#N/A,FALSE,"Ratio Analysis";#N/A,#N/A,FALSE,"Test 120 Day Accts";#N/A,#N/A,FALSE,"Tickmarks"}</definedName>
    <definedName name="_pt8" hidden="1">{#N/A,#N/A,FALSE,"Aging Summary";#N/A,#N/A,FALSE,"Ratio Analysis";#N/A,#N/A,FALSE,"Test 120 Day Accts";#N/A,#N/A,FALSE,"Tickmarks"}</definedName>
    <definedName name="_Regression_Int" hidden="1">1</definedName>
    <definedName name="_RLI2" hidden="1">{#N/A,#N/A,FALSE,"Aging Summary";#N/A,#N/A,FALSE,"Ratio Analysis";#N/A,#N/A,FALSE,"Test 120 Day Accts";#N/A,#N/A,FALSE,"Tickmarks"}</definedName>
    <definedName name="_Sort" localSheetId="14" hidden="1">#REF!</definedName>
    <definedName name="_Sort" localSheetId="8" hidden="1">#REF!</definedName>
    <definedName name="_Sort" localSheetId="6" hidden="1">#REF!</definedName>
    <definedName name="_Sort" localSheetId="9" hidden="1">#REF!</definedName>
    <definedName name="_Sort" localSheetId="16" hidden="1">#REF!</definedName>
    <definedName name="_Sort" localSheetId="3" hidden="1">#REF!</definedName>
    <definedName name="_Sort" localSheetId="12" hidden="1">#REF!</definedName>
    <definedName name="_Sort" localSheetId="21" hidden="1">#REF!</definedName>
    <definedName name="_Sort" localSheetId="10" hidden="1">#REF!</definedName>
    <definedName name="_Sort" localSheetId="17" hidden="1">#REF!</definedName>
    <definedName name="_Sort" hidden="1">#REF!</definedName>
    <definedName name="_Sort01" localSheetId="14" hidden="1">[4]UF!#REF!</definedName>
    <definedName name="_Sort01" localSheetId="8" hidden="1">[4]UF!#REF!</definedName>
    <definedName name="_Sort01" localSheetId="6" hidden="1">[4]UF!#REF!</definedName>
    <definedName name="_Sort01" localSheetId="9" hidden="1">[4]UF!#REF!</definedName>
    <definedName name="_Sort01" localSheetId="16" hidden="1">[4]UF!#REF!</definedName>
    <definedName name="_Sort01" localSheetId="3" hidden="1">[4]UF!#REF!</definedName>
    <definedName name="_Sort01" localSheetId="12" hidden="1">[4]UF!#REF!</definedName>
    <definedName name="_Sort01" localSheetId="21" hidden="1">[4]UF!#REF!</definedName>
    <definedName name="_Sort01" localSheetId="10" hidden="1">[4]UF!#REF!</definedName>
    <definedName name="_Sort01" localSheetId="17" hidden="1">[4]UF!#REF!</definedName>
    <definedName name="_Sort01" hidden="1">[4]UF!#REF!</definedName>
    <definedName name="_t4" hidden="1">{#N/A,#N/A,FALSE,"Aging Summary";#N/A,#N/A,FALSE,"Ratio Analysis";#N/A,#N/A,FALSE,"Test 120 Day Accts";#N/A,#N/A,FALSE,"Tickmarks"}</definedName>
    <definedName name="_xx1" hidden="1">"Ctas Analisis Acreedores"</definedName>
    <definedName name="a" hidden="1">{#N/A,#N/A,FALSE,"Aging Summary";#N/A,#N/A,FALSE,"Ratio Analysis";#N/A,#N/A,FALSE,"Test 120 Day Accts";#N/A,#N/A,FALSE,"Tickmarks"}</definedName>
    <definedName name="aa" localSheetId="14">#REF!</definedName>
    <definedName name="aa" localSheetId="8">#REF!</definedName>
    <definedName name="aa" localSheetId="6">#REF!</definedName>
    <definedName name="aa" localSheetId="9">#REF!</definedName>
    <definedName name="aa" localSheetId="16">#REF!</definedName>
    <definedName name="aa" localSheetId="3">#REF!</definedName>
    <definedName name="aa" localSheetId="12">#REF!</definedName>
    <definedName name="aa" localSheetId="20">#REF!</definedName>
    <definedName name="aa" localSheetId="19">#REF!</definedName>
    <definedName name="aa" localSheetId="21">#REF!</definedName>
    <definedName name="aa" localSheetId="10">#REF!</definedName>
    <definedName name="aa" localSheetId="17">#REF!</definedName>
    <definedName name="aa">#REF!</definedName>
    <definedName name="aaa" localSheetId="14">#REF!</definedName>
    <definedName name="aaa" localSheetId="8">#REF!</definedName>
    <definedName name="aaa" localSheetId="6">#REF!</definedName>
    <definedName name="aaa" localSheetId="9">#REF!</definedName>
    <definedName name="aaa" localSheetId="16">#REF!</definedName>
    <definedName name="aaa" localSheetId="3">#REF!</definedName>
    <definedName name="aaa" localSheetId="12">#REF!</definedName>
    <definedName name="aaa" localSheetId="20">#REF!</definedName>
    <definedName name="aaa" localSheetId="19">#REF!</definedName>
    <definedName name="aaa" localSheetId="21">#REF!</definedName>
    <definedName name="aaa" localSheetId="10">#REF!</definedName>
    <definedName name="aaa" localSheetId="17">#REF!</definedName>
    <definedName name="aaa">#REF!</definedName>
    <definedName name="aaaa" localSheetId="14">#REF!</definedName>
    <definedName name="aaaa" localSheetId="8">#REF!</definedName>
    <definedName name="aaaa" localSheetId="6">#REF!</definedName>
    <definedName name="aaaa" localSheetId="9">#REF!</definedName>
    <definedName name="aaaa" localSheetId="16">#REF!</definedName>
    <definedName name="aaaa" localSheetId="3">#REF!</definedName>
    <definedName name="aaaa" localSheetId="12">#REF!</definedName>
    <definedName name="aaaa" localSheetId="20">#REF!</definedName>
    <definedName name="aaaa" localSheetId="19">#REF!</definedName>
    <definedName name="aaaa" localSheetId="21">#REF!</definedName>
    <definedName name="aaaa" localSheetId="10">#REF!</definedName>
    <definedName name="aaaa" localSheetId="17">#REF!</definedName>
    <definedName name="aaaa">#REF!</definedName>
    <definedName name="adfadf" hidden="1">{#N/A,#N/A,FALSE,"Aging Summary";#N/A,#N/A,FALSE,"Ratio Analysis";#N/A,#N/A,FALSE,"Test 120 Day Accts";#N/A,#N/A,FALSE,"Tickmarks"}</definedName>
    <definedName name="AGOSTO" hidden="1">{"'ICE  Agosto'!$A$60:$A$64","'ICE  Agosto'!$C$67"}</definedName>
    <definedName name="ALE" hidden="1">{#N/A,#N/A,FALSE,"Aging Summary";#N/A,#N/A,FALSE,"Ratio Analysis";#N/A,#N/A,FALSE,"Test 120 Day Accts";#N/A,#N/A,FALSE,"Tickmarks"}</definedName>
    <definedName name="alejandrita" hidden="1">{#N/A,#N/A,FALSE,"Aging Summary";#N/A,#N/A,FALSE,"Ratio Analysis";#N/A,#N/A,FALSE,"Test 120 Day Accts";#N/A,#N/A,FALSE,"Tickmarks"}</definedName>
    <definedName name="alita" hidden="1">{#N/A,#N/A,FALSE,"Aging Summary";#N/A,#N/A,FALSE,"Ratio Analysis";#N/A,#N/A,FALSE,"Test 120 Day Accts";#N/A,#N/A,FALSE,"Tickmarks"}</definedName>
    <definedName name="ALTAS2003" hidden="1">{#N/A,#N/A,FALSE,"Aging Summary";#N/A,#N/A,FALSE,"Ratio Analysis";#N/A,#N/A,FALSE,"Test 120 Day Accts";#N/A,#N/A,FALSE,"Tickmarks"}</definedName>
    <definedName name="am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anscount" hidden="1">1</definedName>
    <definedName name="_xlnm.Print_Area" localSheetId="2">'activo no corriente 2022 '!$A$1:$J$17</definedName>
    <definedName name="_xlnm.Print_Area" localSheetId="14">'activo no corriente 2023'!$A$1:$J$17</definedName>
    <definedName name="_xlnm.Print_Area" localSheetId="3">'costo existencias'!#REF!</definedName>
    <definedName name="_xlnm.Print_Area" localSheetId="11">'R14 AT2023'!$C$2:$P$27</definedName>
    <definedName name="AS2DocOpenMode" hidden="1">"AS2DocumentEdit"</definedName>
    <definedName name="AS2NamedRange" hidden="1">2</definedName>
    <definedName name="AS2ReportLS" hidden="1">1</definedName>
    <definedName name="AS2StaticLS" localSheetId="14" hidden="1">#REF!</definedName>
    <definedName name="AS2StaticLS" localSheetId="8" hidden="1">#REF!</definedName>
    <definedName name="AS2StaticLS" localSheetId="6" hidden="1">#REF!</definedName>
    <definedName name="AS2StaticLS" localSheetId="9" hidden="1">#REF!</definedName>
    <definedName name="AS2StaticLS" localSheetId="16" hidden="1">#REF!</definedName>
    <definedName name="AS2StaticLS" localSheetId="3" hidden="1">#REF!</definedName>
    <definedName name="AS2StaticLS" localSheetId="12" hidden="1">#REF!</definedName>
    <definedName name="AS2StaticLS" localSheetId="21" hidden="1">#REF!</definedName>
    <definedName name="AS2StaticLS" localSheetId="10" hidden="1">#REF!</definedName>
    <definedName name="AS2StaticLS" localSheetId="17" hidden="1">#REF!</definedName>
    <definedName name="AS2StaticLS" hidden="1">#REF!</definedName>
    <definedName name="AS2SyncStepLS" hidden="1">0</definedName>
    <definedName name="AS2TickmarkLS" localSheetId="14" hidden="1">#REF!</definedName>
    <definedName name="AS2TickmarkLS" localSheetId="8" hidden="1">#REF!</definedName>
    <definedName name="AS2TickmarkLS" localSheetId="6" hidden="1">#REF!</definedName>
    <definedName name="AS2TickmarkLS" localSheetId="9" hidden="1">#REF!</definedName>
    <definedName name="AS2TickmarkLS" localSheetId="16" hidden="1">#REF!</definedName>
    <definedName name="AS2TickmarkLS" localSheetId="3" hidden="1">#REF!</definedName>
    <definedName name="AS2TickmarkLS" localSheetId="12" hidden="1">#REF!</definedName>
    <definedName name="AS2TickmarkLS" localSheetId="21" hidden="1">#REF!</definedName>
    <definedName name="AS2TickmarkLS" localSheetId="10" hidden="1">#REF!</definedName>
    <definedName name="AS2TickmarkLS" localSheetId="17" hidden="1">#REF!</definedName>
    <definedName name="AS2TickmarkLS" hidden="1">#REF!</definedName>
    <definedName name="AS2VersionLS" hidden="1">300</definedName>
    <definedName name="asdad" hidden="1">{#N/A,#N/A,FALSE,"Aging Summary";#N/A,#N/A,FALSE,"Ratio Analysis";#N/A,#N/A,FALSE,"Test 120 Day Accts";#N/A,#N/A,FALSE,"Tickmarks"}</definedName>
    <definedName name="asdaqsd" hidden="1">{#N/A,#N/A,FALSE,"Aging Summary";#N/A,#N/A,FALSE,"Ratio Analysis";#N/A,#N/A,FALSE,"Test 120 Day Accts";#N/A,#N/A,FALSE,"Tickmarks"}</definedName>
    <definedName name="asdd" hidden="1">{#N/A,#N/A,FALSE,"Aging Summary";#N/A,#N/A,FALSE,"Ratio Analysis";#N/A,#N/A,FALSE,"Test 120 Day Accts";#N/A,#N/A,FALSE,"Tickmarks"}</definedName>
    <definedName name="b" hidden="1">{#N/A,#N/A,FALSE,"Aging Summary";#N/A,#N/A,FALSE,"Ratio Analysis";#N/A,#N/A,FALSE,"Test 120 Day Accts";#N/A,#N/A,FALSE,"Tickmarks"}</definedName>
    <definedName name="bb" hidden="1">{#N/A,#N/A,FALSE,"Aging Summary";#N/A,#N/A,FALSE,"Ratio Analysis";#N/A,#N/A,FALSE,"Test 120 Day Accts";#N/A,#N/A,FALSE,"Tickmarks"}</definedName>
    <definedName name="BG_Del" hidden="1">15</definedName>
    <definedName name="BG_Ins" hidden="1">4</definedName>
    <definedName name="BG_Mod" hidden="1">6</definedName>
    <definedName name="CALCULOS" hidden="1">{#N/A,#N/A,FALSE,"Aging Summary";#N/A,#N/A,FALSE,"Ratio Analysis";#N/A,#N/A,FALSE,"Test 120 Day Accts";#N/A,#N/A,FALSE,"Tickmarks"}</definedName>
    <definedName name="CAP1B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CAP1C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cargo">[5]definiciones!$G$1:$G$35</definedName>
    <definedName name="casa" localSheetId="14">#REF!</definedName>
    <definedName name="casa" localSheetId="8">#REF!</definedName>
    <definedName name="casa" localSheetId="6">#REF!</definedName>
    <definedName name="casa" localSheetId="9">#REF!</definedName>
    <definedName name="casa" localSheetId="16">#REF!</definedName>
    <definedName name="casa" localSheetId="3">#REF!</definedName>
    <definedName name="casa" localSheetId="12">#REF!</definedName>
    <definedName name="casa" localSheetId="20">#REF!</definedName>
    <definedName name="casa" localSheetId="19">#REF!</definedName>
    <definedName name="casa" localSheetId="21">#REF!</definedName>
    <definedName name="casa" localSheetId="10">#REF!</definedName>
    <definedName name="casa" localSheetId="17">#REF!</definedName>
    <definedName name="casa">#REF!</definedName>
    <definedName name="CBDDSDSGSE" localSheetId="14">#REF!</definedName>
    <definedName name="CBDDSDSGSE" localSheetId="8">#REF!</definedName>
    <definedName name="CBDDSDSGSE" localSheetId="6">#REF!</definedName>
    <definedName name="CBDDSDSGSE" localSheetId="9">#REF!</definedName>
    <definedName name="CBDDSDSGSE" localSheetId="16">#REF!</definedName>
    <definedName name="CBDDSDSGSE" localSheetId="3">#REF!</definedName>
    <definedName name="CBDDSDSGSE" localSheetId="0">#REF!</definedName>
    <definedName name="CBDDSDSGSE" localSheetId="12">#REF!</definedName>
    <definedName name="CBDDSDSGSE" localSheetId="20">#REF!</definedName>
    <definedName name="CBDDSDSGSE" localSheetId="19">#REF!</definedName>
    <definedName name="CBDDSDSGSE" localSheetId="21">#REF!</definedName>
    <definedName name="CBDDSDSGSE" localSheetId="7">#REF!</definedName>
    <definedName name="CBDDSDSGSE" localSheetId="10">#REF!</definedName>
    <definedName name="CBDDSDSGSE" localSheetId="17">#REF!</definedName>
    <definedName name="CBDDSDSGSE">#REF!</definedName>
    <definedName name="CC" localSheetId="14">#REF!</definedName>
    <definedName name="CC" localSheetId="8">#REF!</definedName>
    <definedName name="CC" localSheetId="6">#REF!</definedName>
    <definedName name="CC" localSheetId="9">#REF!</definedName>
    <definedName name="CC" localSheetId="16">#REF!</definedName>
    <definedName name="CC" localSheetId="3">#REF!</definedName>
    <definedName name="CC" localSheetId="0">#REF!</definedName>
    <definedName name="CC" localSheetId="12">#REF!</definedName>
    <definedName name="CC" localSheetId="20">#REF!</definedName>
    <definedName name="CC" localSheetId="19">#REF!</definedName>
    <definedName name="CC" localSheetId="21">#REF!</definedName>
    <definedName name="CC" localSheetId="7">#REF!</definedName>
    <definedName name="CC" localSheetId="10">#REF!</definedName>
    <definedName name="CC" localSheetId="17">#REF!</definedName>
    <definedName name="CC">#REF!</definedName>
    <definedName name="CCCC" localSheetId="14">[6]bien!#REF!</definedName>
    <definedName name="CCCC" localSheetId="8">[6]bien!#REF!</definedName>
    <definedName name="CCCC" localSheetId="6">[6]bien!#REF!</definedName>
    <definedName name="CCCC" localSheetId="9">[6]bien!#REF!</definedName>
    <definedName name="CCCC" localSheetId="16">[6]bien!#REF!</definedName>
    <definedName name="CCCC" localSheetId="3">[6]bien!#REF!</definedName>
    <definedName name="CCCC" localSheetId="0">[6]bien!#REF!</definedName>
    <definedName name="CCCC" localSheetId="12">[6]bien!#REF!</definedName>
    <definedName name="CCCC" localSheetId="20">[6]bien!#REF!</definedName>
    <definedName name="CCCC" localSheetId="19">[6]bien!#REF!</definedName>
    <definedName name="CCCC" localSheetId="21">[6]bien!#REF!</definedName>
    <definedName name="CCCC" localSheetId="7">[6]bien!#REF!</definedName>
    <definedName name="CCCC" localSheetId="10">[6]bien!#REF!</definedName>
    <definedName name="CCCC" localSheetId="17">[6]bien!#REF!</definedName>
    <definedName name="CCCC">[6]bien!#REF!</definedName>
    <definedName name="CCCCC" localSheetId="2">[6]bien!#REF!</definedName>
    <definedName name="CCCCC" localSheetId="14">[6]bien!#REF!</definedName>
    <definedName name="CCCCC" localSheetId="8">[6]bien!#REF!</definedName>
    <definedName name="CCCCC" localSheetId="6">[6]bien!#REF!</definedName>
    <definedName name="CCCCC" localSheetId="9">[6]bien!#REF!</definedName>
    <definedName name="CCCCC" localSheetId="1">[6]bien!#REF!</definedName>
    <definedName name="CCCCC" localSheetId="16">[6]bien!#REF!</definedName>
    <definedName name="CCCCC" localSheetId="3">[6]bien!#REF!</definedName>
    <definedName name="CCCCC" localSheetId="0">[6]bien!#REF!</definedName>
    <definedName name="CCCCC" localSheetId="12">[6]bien!#REF!</definedName>
    <definedName name="CCCCC" localSheetId="20">[6]bien!#REF!</definedName>
    <definedName name="CCCCC" localSheetId="19">[6]bien!#REF!</definedName>
    <definedName name="CCCCC" localSheetId="21">[6]bien!#REF!</definedName>
    <definedName name="CCCCC" localSheetId="7">[6]bien!#REF!</definedName>
    <definedName name="CCCCC" localSheetId="10">[6]bien!#REF!</definedName>
    <definedName name="CCCCC" localSheetId="17">[6]bien!#REF!</definedName>
    <definedName name="CCCCC">[6]bien!#REF!</definedName>
    <definedName name="CERTIFICADO" localSheetId="14">#REF!</definedName>
    <definedName name="CERTIFICADO" localSheetId="8">#REF!</definedName>
    <definedName name="CERTIFICADO" localSheetId="6">#REF!</definedName>
    <definedName name="CERTIFICADO" localSheetId="9">#REF!</definedName>
    <definedName name="CERTIFICADO" localSheetId="16">#REF!</definedName>
    <definedName name="CERTIFICADO" localSheetId="3">#REF!</definedName>
    <definedName name="CERTIFICADO" localSheetId="12">#REF!</definedName>
    <definedName name="CERTIFICADO" localSheetId="20">#REF!</definedName>
    <definedName name="CERTIFICADO" localSheetId="19">#REF!</definedName>
    <definedName name="CERTIFICADO" localSheetId="21">#REF!</definedName>
    <definedName name="CERTIFICADO" localSheetId="10">#REF!</definedName>
    <definedName name="CERTIFICADO" localSheetId="17">#REF!</definedName>
    <definedName name="CERTIFICADO">#REF!</definedName>
    <definedName name="claud" hidden="1">{#N/A,#N/A,FALSE,"Aging Summary";#N/A,#N/A,FALSE,"Ratio Analysis";#N/A,#N/A,FALSE,"Test 120 Day Accts";#N/A,#N/A,FALSE,"Tickmarks"}</definedName>
    <definedName name="color">[5]definiciones!$B$2:$B$3</definedName>
    <definedName name="CPF" hidden="1">{#N/A,#N/A,FALSE,"Aging Summary";#N/A,#N/A,FALSE,"Ratio Analysis";#N/A,#N/A,FALSE,"Test 120 Day Accts";#N/A,#N/A,FALSE,"Tickmarks"}</definedName>
    <definedName name="CPT" hidden="1">{#N/A,#N/A,FALSE,"Aging Summary";#N/A,#N/A,FALSE,"Ratio Analysis";#N/A,#N/A,FALSE,"Test 120 Day Accts";#N/A,#N/A,FALSE,"Tickmarks"}</definedName>
    <definedName name="csd" hidden="1">{#N/A,#N/A,FALSE,"Aging Summary";#N/A,#N/A,FALSE,"Ratio Analysis";#N/A,#N/A,FALSE,"Test 120 Day Accts";#N/A,#N/A,FALSE,"Tickmarks"}</definedName>
    <definedName name="cvf" hidden="1">{#N/A,#N/A,TRUE," L.MAROC";#N/A,#N/A,TRUE,"SIE";#N/A,#N/A,TRUE,"ELIM L.GROUPE";#N/A,#N/A,TRUE,"ACTIVITE CIMENTIERE";#N/A,#N/A,TRUE,"ELIM ACTIVITE CIMENTIERE";#N/A,#N/A,TRUE,"SYNTHES L. CIMENT";#N/A,#N/A,TRUE,"BOUSKOURA";#N/A,#N/A,TRUE,"MEKNES";#N/A,#N/A,TRUE,"ELIM L.CIMENT";#N/A,#N/A,TRUE,"SYNTHESE L.CEMENTOS";#N/A,#N/A,TRUE,"TANGER";#N/A,#N/A,TRUE,"TETOUAN";#N/A,#N/A,TRUE,"ELIM L.CEMENTOS"}</definedName>
    <definedName name="CX" hidden="1">{#N/A,#N/A,FALSE,"Aging Summary";#N/A,#N/A,FALSE,"Ratio Analysis";#N/A,#N/A,FALSE,"Test 120 Day Accts";#N/A,#N/A,FALSE,"Tickmarks"}</definedName>
    <definedName name="cxc" hidden="1">{#N/A,#N/A,FALSE,"Aging Summary";#N/A,#N/A,FALSE,"Ratio Analysis";#N/A,#N/A,FALSE,"Test 120 Day Accts";#N/A,#N/A,FALSE,"Tickmarks"}</definedName>
    <definedName name="cxv" hidden="1">{#N/A,#N/A,FALSE,"Aging Summary";#N/A,#N/A,FALSE,"Ratio Analysis";#N/A,#N/A,FALSE,"Test 120 Day Accts";#N/A,#N/A,FALSE,"Tickmarks"}</definedName>
    <definedName name="DD" localSheetId="14">#REF!</definedName>
    <definedName name="DD" localSheetId="8">#REF!</definedName>
    <definedName name="DD" localSheetId="6">#REF!</definedName>
    <definedName name="DD" localSheetId="9">#REF!</definedName>
    <definedName name="DD" localSheetId="16">#REF!</definedName>
    <definedName name="DD" localSheetId="3">#REF!</definedName>
    <definedName name="DD" localSheetId="0">#REF!</definedName>
    <definedName name="DD" localSheetId="12">#REF!</definedName>
    <definedName name="DD" localSheetId="20">#REF!</definedName>
    <definedName name="DD" localSheetId="19">#REF!</definedName>
    <definedName name="DD" localSheetId="21">#REF!</definedName>
    <definedName name="DD" localSheetId="7">#REF!</definedName>
    <definedName name="DD" localSheetId="10">#REF!</definedName>
    <definedName name="DD" localSheetId="17">#REF!</definedName>
    <definedName name="DD">#REF!</definedName>
    <definedName name="DDD" hidden="1">{#N/A,#N/A,FALSE,"Aging Summary";#N/A,#N/A,FALSE,"Ratio Analysis";#N/A,#N/A,FALSE,"Test 120 Day Accts";#N/A,#N/A,FALSE,"Tickmarks"}</definedName>
    <definedName name="dddd" hidden="1">{#N/A,#N/A,FALSE,"Aging Summary";#N/A,#N/A,FALSE,"Ratio Analysis";#N/A,#N/A,FALSE,"Test 120 Day Accts";#N/A,#N/A,FALSE,"Tickmarks"}</definedName>
    <definedName name="df" hidden="1">{#N/A,#N/A,FALSE,"Aging Summary";#N/A,#N/A,FALSE,"Ratio Analysis";#N/A,#N/A,FALSE,"Test 120 Day Accts";#N/A,#N/A,FALSE,"Tickmarks"}</definedName>
    <definedName name="DFF" localSheetId="14">#REF!</definedName>
    <definedName name="DFF" localSheetId="8">#REF!</definedName>
    <definedName name="DFF" localSheetId="6">#REF!</definedName>
    <definedName name="DFF" localSheetId="9">#REF!</definedName>
    <definedName name="DFF" localSheetId="16">#REF!</definedName>
    <definedName name="DFF" localSheetId="3">#REF!</definedName>
    <definedName name="DFF" localSheetId="0">#REF!</definedName>
    <definedName name="DFF" localSheetId="12">#REF!</definedName>
    <definedName name="DFF" localSheetId="20">#REF!</definedName>
    <definedName name="DFF" localSheetId="19">#REF!</definedName>
    <definedName name="DFF" localSheetId="21">#REF!</definedName>
    <definedName name="DFF" localSheetId="7">#REF!</definedName>
    <definedName name="DFF" localSheetId="10">#REF!</definedName>
    <definedName name="DFF" localSheetId="17">#REF!</definedName>
    <definedName name="DFF">#REF!</definedName>
    <definedName name="DFFFD" localSheetId="14">#REF!</definedName>
    <definedName name="DFFFD" localSheetId="8">#REF!</definedName>
    <definedName name="DFFFD" localSheetId="6">#REF!</definedName>
    <definedName name="DFFFD" localSheetId="9">#REF!</definedName>
    <definedName name="DFFFD" localSheetId="16">#REF!</definedName>
    <definedName name="DFFFD" localSheetId="3">#REF!</definedName>
    <definedName name="DFFFD" localSheetId="0">#REF!</definedName>
    <definedName name="DFFFD" localSheetId="12">#REF!</definedName>
    <definedName name="DFFFD" localSheetId="20">#REF!</definedName>
    <definedName name="DFFFD" localSheetId="19">#REF!</definedName>
    <definedName name="DFFFD" localSheetId="21">#REF!</definedName>
    <definedName name="DFFFD" localSheetId="7">#REF!</definedName>
    <definedName name="DFFFD" localSheetId="10">#REF!</definedName>
    <definedName name="DFFFD" localSheetId="17">#REF!</definedName>
    <definedName name="DFFFD">#REF!</definedName>
    <definedName name="DFG" localSheetId="14" hidden="1">#REF!</definedName>
    <definedName name="DFG" localSheetId="8" hidden="1">#REF!</definedName>
    <definedName name="DFG" localSheetId="6" hidden="1">#REF!</definedName>
    <definedName name="DFG" localSheetId="9" hidden="1">#REF!</definedName>
    <definedName name="DFG" localSheetId="16" hidden="1">#REF!</definedName>
    <definedName name="DFG" localSheetId="3" hidden="1">#REF!</definedName>
    <definedName name="DFG" localSheetId="12" hidden="1">#REF!</definedName>
    <definedName name="DFG" localSheetId="21" hidden="1">#REF!</definedName>
    <definedName name="DFG" localSheetId="10" hidden="1">#REF!</definedName>
    <definedName name="DFG" localSheetId="17" hidden="1">#REF!</definedName>
    <definedName name="DFG" hidden="1">#REF!</definedName>
    <definedName name="DIF" hidden="1">{#N/A,#N/A,FALSE,"Aging Summary";#N/A,#N/A,FALSE,"Ratio Analysis";#N/A,#N/A,FALSE,"Test 120 Day Accts";#N/A,#N/A,FALSE,"Tickmarks"}</definedName>
    <definedName name="diusdis" hidden="1">{#N/A,#N/A,FALSE,"Aging Summary";#N/A,#N/A,FALSE,"Ratio Analysis";#N/A,#N/A,FALSE,"Test 120 Day Accts";#N/A,#N/A,FALSE,"Tickmarks"}</definedName>
    <definedName name="donaciones1" hidden="1">{#N/A,#N/A,FALSE,"Aging Summary";#N/A,#N/A,FALSE,"Ratio Analysis";#N/A,#N/A,FALSE,"Test 120 Day Accts";#N/A,#N/A,FALSE,"Tickmarks"}</definedName>
    <definedName name="DOS" localSheetId="14">#REF!</definedName>
    <definedName name="DOS" localSheetId="8">#REF!</definedName>
    <definedName name="DOS" localSheetId="6">#REF!</definedName>
    <definedName name="DOS" localSheetId="9">#REF!</definedName>
    <definedName name="DOS" localSheetId="1">#REF!</definedName>
    <definedName name="DOS" localSheetId="16">#REF!</definedName>
    <definedName name="DOS" localSheetId="3">#REF!</definedName>
    <definedName name="DOS" localSheetId="0">#REF!</definedName>
    <definedName name="DOS" localSheetId="12">#REF!</definedName>
    <definedName name="DOS" localSheetId="20">#REF!</definedName>
    <definedName name="DOS" localSheetId="19">#REF!</definedName>
    <definedName name="DOS" localSheetId="21">#REF!</definedName>
    <definedName name="DOS" localSheetId="7">#REF!</definedName>
    <definedName name="DOS" localSheetId="10">#REF!</definedName>
    <definedName name="DOS" localSheetId="17">#REF!</definedName>
    <definedName name="DOS">#REF!</definedName>
    <definedName name="EBITYTDBud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EDEE" localSheetId="14">#REF!</definedName>
    <definedName name="EDEE" localSheetId="8">#REF!</definedName>
    <definedName name="EDEE" localSheetId="6">#REF!</definedName>
    <definedName name="EDEE" localSheetId="9">#REF!</definedName>
    <definedName name="EDEE" localSheetId="16">#REF!</definedName>
    <definedName name="EDEE" localSheetId="3">#REF!</definedName>
    <definedName name="EDEE" localSheetId="0">#REF!</definedName>
    <definedName name="EDEE" localSheetId="12">#REF!</definedName>
    <definedName name="EDEE" localSheetId="20">#REF!</definedName>
    <definedName name="EDEE" localSheetId="19">#REF!</definedName>
    <definedName name="EDEE" localSheetId="21">#REF!</definedName>
    <definedName name="EDEE" localSheetId="7">#REF!</definedName>
    <definedName name="EDEE" localSheetId="10">#REF!</definedName>
    <definedName name="EDEE" localSheetId="17">#REF!</definedName>
    <definedName name="EDEE">#REF!</definedName>
    <definedName name="ee" hidden="1">{#N/A,#N/A,FALSE,"Aging Summary";#N/A,#N/A,FALSE,"Ratio Analysis";#N/A,#N/A,FALSE,"Test 120 Day Accts";#N/A,#N/A,FALSE,"Tickmarks"}</definedName>
    <definedName name="eeee" hidden="1">{#N/A,#N/A,FALSE,"Aging Summary";#N/A,#N/A,FALSE,"Ratio Analysis";#N/A,#N/A,FALSE,"Test 120 Day Accts";#N/A,#N/A,FALSE,"Tickmarks"}</definedName>
    <definedName name="efe" hidden="1">{#N/A,#N/A,FALSE,"Aging Summary";#N/A,#N/A,FALSE,"Ratio Analysis";#N/A,#N/A,FALSE,"Test 120 Day Accts";#N/A,#N/A,FALSE,"Tickmarks"}</definedName>
    <definedName name="er" hidden="1">{#N/A,#N/A,FALSE,"Aging Summary";#N/A,#N/A,FALSE,"Ratio Analysis";#N/A,#N/A,FALSE,"Test 120 Day Accts";#N/A,#N/A,FALSE,"Tickmarks"}</definedName>
    <definedName name="EX" hidden="1">{#N/A,#N/A,FALSE,"Aging Summary";#N/A,#N/A,FALSE,"Ratio Analysis";#N/A,#N/A,FALSE,"Test 120 Day Accts";#N/A,#N/A,FALSE,"Tickmarks"}</definedName>
    <definedName name="Excel_BuiltIn_Print_Area_2_1" localSheetId="2">#REF!</definedName>
    <definedName name="Excel_BuiltIn_Print_Area_2_1" localSheetId="14">#REF!</definedName>
    <definedName name="Excel_BuiltIn_Print_Area_2_1" localSheetId="8">#REF!</definedName>
    <definedName name="Excel_BuiltIn_Print_Area_2_1" localSheetId="6">#REF!</definedName>
    <definedName name="Excel_BuiltIn_Print_Area_2_1" localSheetId="9">#REF!</definedName>
    <definedName name="Excel_BuiltIn_Print_Area_2_1" localSheetId="1">#REF!</definedName>
    <definedName name="Excel_BuiltIn_Print_Area_2_1" localSheetId="16">#REF!</definedName>
    <definedName name="Excel_BuiltIn_Print_Area_2_1" localSheetId="3">#REF!</definedName>
    <definedName name="Excel_BuiltIn_Print_Area_2_1" localSheetId="0">#REF!</definedName>
    <definedName name="Excel_BuiltIn_Print_Area_2_1" localSheetId="12">#REF!</definedName>
    <definedName name="Excel_BuiltIn_Print_Area_2_1" localSheetId="21">#REF!</definedName>
    <definedName name="Excel_BuiltIn_Print_Area_2_1" localSheetId="7">#REF!</definedName>
    <definedName name="Excel_BuiltIn_Print_Area_2_1" localSheetId="10">#REF!</definedName>
    <definedName name="Excel_BuiltIn_Print_Area_2_1" localSheetId="17">#REF!</definedName>
    <definedName name="Excel_BuiltIn_Print_Area_2_1">#REF!</definedName>
    <definedName name="eXHD" hidden="1">{#N/A,#N/A,TRUE,"TOTAL COMPANY 1995";#N/A,#N/A,TRUE,"UTR-DC";#N/A,#N/A,TRUE,"UTR-WP";#N/A,#N/A,TRUE,"UTR-WR";#N/A,#N/A,TRUE,"UTR-LT";#N/A,#N/A,TRUE,"UTR-DI";#N/A,#N/A,TRUE,"STAV-WR";#N/A,#N/A,TRUE,"YSSV-WR";#N/A,#N/A,TRUE,"GP.EXP.NP"}</definedName>
    <definedName name="Factores">'[6]calculos planilla'!$A$2:$M$134</definedName>
    <definedName name="fdf" hidden="1">{#N/A,#N/A,FALSE,"Aging Summary";#N/A,#N/A,FALSE,"Ratio Analysis";#N/A,#N/A,FALSE,"Test 120 Day Accts";#N/A,#N/A,FALSE,"Tickmarks"}</definedName>
    <definedName name="fecha">[6]bien!$F$8</definedName>
    <definedName name="fecha_act" localSheetId="2">[6]bien!#REF!</definedName>
    <definedName name="fecha_act" localSheetId="14">[6]bien!#REF!</definedName>
    <definedName name="fecha_act" localSheetId="8">[6]bien!#REF!</definedName>
    <definedName name="fecha_act" localSheetId="6">[6]bien!#REF!</definedName>
    <definedName name="fecha_act" localSheetId="9">[6]bien!#REF!</definedName>
    <definedName name="fecha_act" localSheetId="1">[6]bien!#REF!</definedName>
    <definedName name="fecha_act" localSheetId="16">[6]bien!#REF!</definedName>
    <definedName name="fecha_act" localSheetId="3">[6]bien!#REF!</definedName>
    <definedName name="fecha_act" localSheetId="0">[6]bien!#REF!</definedName>
    <definedName name="fecha_act" localSheetId="12">[6]bien!#REF!</definedName>
    <definedName name="fecha_act" localSheetId="20">[6]bien!#REF!</definedName>
    <definedName name="fecha_act" localSheetId="19">[6]bien!#REF!</definedName>
    <definedName name="fecha_act" localSheetId="21">[6]bien!#REF!</definedName>
    <definedName name="fecha_act" localSheetId="7">[6]bien!#REF!</definedName>
    <definedName name="fecha_act" localSheetId="10">[6]bien!#REF!</definedName>
    <definedName name="fecha_act" localSheetId="17">[6]bien!#REF!</definedName>
    <definedName name="fecha_act">[6]bien!#REF!</definedName>
    <definedName name="feo" hidden="1">{#N/A,#N/A,FALSE,"Aging Summary";#N/A,#N/A,FALSE,"Ratio Analysis";#N/A,#N/A,FALSE,"Test 120 Day Accts";#N/A,#N/A,FALSE,"Tickmarks"}</definedName>
    <definedName name="FF" localSheetId="14">#REF!</definedName>
    <definedName name="FF" localSheetId="8">#REF!</definedName>
    <definedName name="FF" localSheetId="6">#REF!</definedName>
    <definedName name="FF" localSheetId="9">#REF!</definedName>
    <definedName name="FF" localSheetId="16">#REF!</definedName>
    <definedName name="FF" localSheetId="3">#REF!</definedName>
    <definedName name="FF" localSheetId="0">#REF!</definedName>
    <definedName name="FF" localSheetId="12">#REF!</definedName>
    <definedName name="FF" localSheetId="20">#REF!</definedName>
    <definedName name="FF" localSheetId="19">#REF!</definedName>
    <definedName name="FF" localSheetId="21">#REF!</definedName>
    <definedName name="FF" localSheetId="7">#REF!</definedName>
    <definedName name="FF" localSheetId="10">#REF!</definedName>
    <definedName name="FF" localSheetId="17">#REF!</definedName>
    <definedName name="FF">#REF!</definedName>
    <definedName name="FFF" localSheetId="14">#REF!</definedName>
    <definedName name="FFF" localSheetId="8">#REF!</definedName>
    <definedName name="FFF" localSheetId="6">#REF!</definedName>
    <definedName name="FFF" localSheetId="9">#REF!</definedName>
    <definedName name="FFF" localSheetId="16">#REF!</definedName>
    <definedName name="FFF" localSheetId="3">#REF!</definedName>
    <definedName name="FFF" localSheetId="0">#REF!</definedName>
    <definedName name="FFF" localSheetId="12">#REF!</definedName>
    <definedName name="FFF" localSheetId="20">#REF!</definedName>
    <definedName name="FFF" localSheetId="19">#REF!</definedName>
    <definedName name="FFF" localSheetId="21">#REF!</definedName>
    <definedName name="FFF" localSheetId="7">#REF!</definedName>
    <definedName name="FFF" localSheetId="10">#REF!</definedName>
    <definedName name="FFF" localSheetId="17">#REF!</definedName>
    <definedName name="FFF">#REF!</definedName>
    <definedName name="FFFF" localSheetId="14">[6]bien!#REF!</definedName>
    <definedName name="FFFF" localSheetId="8">[6]bien!#REF!</definedName>
    <definedName name="FFFF" localSheetId="6">[6]bien!#REF!</definedName>
    <definedName name="FFFF" localSheetId="9">[6]bien!#REF!</definedName>
    <definedName name="FFFF" localSheetId="16">[6]bien!#REF!</definedName>
    <definedName name="FFFF" localSheetId="3">[6]bien!#REF!</definedName>
    <definedName name="FFFF" localSheetId="0">[6]bien!#REF!</definedName>
    <definedName name="FFFF" localSheetId="12">[6]bien!#REF!</definedName>
    <definedName name="FFFF" localSheetId="20">[6]bien!#REF!</definedName>
    <definedName name="FFFF" localSheetId="19">[6]bien!#REF!</definedName>
    <definedName name="FFFF" localSheetId="21">[6]bien!#REF!</definedName>
    <definedName name="FFFF" localSheetId="7">[6]bien!#REF!</definedName>
    <definedName name="FFFF" localSheetId="10">[6]bien!#REF!</definedName>
    <definedName name="FFFF" localSheetId="17">[6]bien!#REF!</definedName>
    <definedName name="FFFF">[6]bien!#REF!</definedName>
    <definedName name="fondos" localSheetId="14">[5]definiciones!#REF!</definedName>
    <definedName name="fondos" localSheetId="8">[5]definiciones!#REF!</definedName>
    <definedName name="fondos" localSheetId="6">[5]definiciones!#REF!</definedName>
    <definedName name="fondos" localSheetId="9">[5]definiciones!#REF!</definedName>
    <definedName name="fondos" localSheetId="16">[5]definiciones!#REF!</definedName>
    <definedName name="fondos" localSheetId="3">[5]definiciones!#REF!</definedName>
    <definedName name="fondos" localSheetId="12">[5]definiciones!#REF!</definedName>
    <definedName name="fondos" localSheetId="21">[5]definiciones!#REF!</definedName>
    <definedName name="fondos" localSheetId="10">[5]definiciones!#REF!</definedName>
    <definedName name="fondos" localSheetId="17">[5]definiciones!#REF!</definedName>
    <definedName name="fondos">[5]definiciones!#REF!</definedName>
    <definedName name="formato">[5]definiciones!$D$2:$D$5</definedName>
    <definedName name="FUT_2000" hidden="1">{#N/A,#N/A,FALSE,"Aging Summary";#N/A,#N/A,FALSE,"Ratio Analysis";#N/A,#N/A,FALSE,"Test 120 Day Accts";#N/A,#N/A,FALSE,"Tickmarks"}</definedName>
    <definedName name="g" localSheetId="14">#REF!</definedName>
    <definedName name="g" localSheetId="8">#REF!</definedName>
    <definedName name="g" localSheetId="6">#REF!</definedName>
    <definedName name="g" localSheetId="9">#REF!</definedName>
    <definedName name="g" localSheetId="16">#REF!</definedName>
    <definedName name="g" localSheetId="3">#REF!</definedName>
    <definedName name="g" localSheetId="12">#REF!</definedName>
    <definedName name="g" localSheetId="20">#REF!</definedName>
    <definedName name="g" localSheetId="19">#REF!</definedName>
    <definedName name="g" localSheetId="21">#REF!</definedName>
    <definedName name="g" localSheetId="10">#REF!</definedName>
    <definedName name="g" localSheetId="17">#REF!</definedName>
    <definedName name="g">#REF!</definedName>
    <definedName name="Gasto_Fijo__GF" localSheetId="14">'[7]BD Compras'!#REF!</definedName>
    <definedName name="Gasto_Fijo__GF" localSheetId="8">'[7]BD Compras'!#REF!</definedName>
    <definedName name="Gasto_Fijo__GF" localSheetId="6">'[7]BD Compras'!#REF!</definedName>
    <definedName name="Gasto_Fijo__GF" localSheetId="9">'[7]BD Compras'!#REF!</definedName>
    <definedName name="Gasto_Fijo__GF" localSheetId="16">'[7]BD Compras'!#REF!</definedName>
    <definedName name="Gasto_Fijo__GF" localSheetId="3">'[7]BD Compras'!#REF!</definedName>
    <definedName name="Gasto_Fijo__GF" localSheetId="12">'[7]BD Compras'!#REF!</definedName>
    <definedName name="Gasto_Fijo__GF" localSheetId="21">'[7]BD Compras'!#REF!</definedName>
    <definedName name="Gasto_Fijo__GF" localSheetId="10">'[7]BD Compras'!#REF!</definedName>
    <definedName name="Gasto_Fijo__GF" localSheetId="17">'[7]BD Compras'!#REF!</definedName>
    <definedName name="Gasto_Fijo__GF">'[7]BD Compras'!#REF!</definedName>
    <definedName name="GC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g" hidden="1">{"'ICE  Agosto'!$A$60:$A$64","'ICE  Agosto'!$C$67"}</definedName>
    <definedName name="ｇｇ" hidden="1">{#N/A,#N/A,FALSE,"Cover (Japan)";#N/A,#N/A,FALSE,"Index";#N/A,#N/A,FALSE,"Comment sum"}</definedName>
    <definedName name="ggg" localSheetId="14">#REF!</definedName>
    <definedName name="ggg" localSheetId="8">#REF!</definedName>
    <definedName name="ggg" localSheetId="6">#REF!</definedName>
    <definedName name="ggg" localSheetId="9">#REF!</definedName>
    <definedName name="ggg" localSheetId="16">#REF!</definedName>
    <definedName name="ggg" localSheetId="3">#REF!</definedName>
    <definedName name="ggg" localSheetId="12">#REF!</definedName>
    <definedName name="ggg" localSheetId="21">#REF!</definedName>
    <definedName name="ggg" localSheetId="10">#REF!</definedName>
    <definedName name="ggg" localSheetId="17">#REF!</definedName>
    <definedName name="ggg">#REF!</definedName>
    <definedName name="gggggggggggggggggggggggggg" hidden="1">{#N/A,#N/A,FALSE,"Aging Summary";#N/A,#N/A,FALSE,"Ratio Analysis";#N/A,#N/A,FALSE,"Test 120 Day Accts";#N/A,#N/A,FALSE,"Tickmarks"}</definedName>
    <definedName name="guion">[5]definiciones!$F$2:$F$3</definedName>
    <definedName name="GVKey">""</definedName>
    <definedName name="GVV" hidden="1">{#N/A,#N/A,FALSE,"Aging Summary";#N/A,#N/A,FALSE,"Ratio Analysis";#N/A,#N/A,FALSE,"Test 120 Day Accts";#N/A,#N/A,FALSE,"Tickmarks"}</definedName>
    <definedName name="h" hidden="1">{#N/A,#N/A,FALSE,"Aging Summary";#N/A,#N/A,FALSE,"Ratio Analysis";#N/A,#N/A,FALSE,"Test 120 Day Accts";#N/A,#N/A,FALSE,"Tickmarks"}</definedName>
    <definedName name="hdhdhhd" hidden="1">48</definedName>
    <definedName name="HGHHH" localSheetId="14">#REF!</definedName>
    <definedName name="HGHHH" localSheetId="8">#REF!</definedName>
    <definedName name="HGHHH" localSheetId="6">#REF!</definedName>
    <definedName name="HGHHH" localSheetId="9">#REF!</definedName>
    <definedName name="HGHHH" localSheetId="16">#REF!</definedName>
    <definedName name="HGHHH" localSheetId="3">#REF!</definedName>
    <definedName name="HGHHH" localSheetId="0">#REF!</definedName>
    <definedName name="HGHHH" localSheetId="12">#REF!</definedName>
    <definedName name="HGHHH" localSheetId="20">#REF!</definedName>
    <definedName name="HGHHH" localSheetId="19">#REF!</definedName>
    <definedName name="HGHHH" localSheetId="21">#REF!</definedName>
    <definedName name="HGHHH" localSheetId="7">#REF!</definedName>
    <definedName name="HGHHH" localSheetId="10">#REF!</definedName>
    <definedName name="HGHHH" localSheetId="17">#REF!</definedName>
    <definedName name="HGHHH">#REF!</definedName>
    <definedName name="hhh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HHHH" localSheetId="14">#REF!</definedName>
    <definedName name="HHHH" localSheetId="8">#REF!</definedName>
    <definedName name="HHHH" localSheetId="6">#REF!</definedName>
    <definedName name="HHHH" localSheetId="9">#REF!</definedName>
    <definedName name="HHHH" localSheetId="16">#REF!</definedName>
    <definedName name="HHHH" localSheetId="3">#REF!</definedName>
    <definedName name="HHHH" localSheetId="0">#REF!</definedName>
    <definedName name="HHHH" localSheetId="12">#REF!</definedName>
    <definedName name="HHHH" localSheetId="20">#REF!</definedName>
    <definedName name="HHHH" localSheetId="19">#REF!</definedName>
    <definedName name="HHHH" localSheetId="21">#REF!</definedName>
    <definedName name="HHHH" localSheetId="7">#REF!</definedName>
    <definedName name="HHHH" localSheetId="10">#REF!</definedName>
    <definedName name="HHHH" localSheetId="17">#REF!</definedName>
    <definedName name="HHHH">#REF!</definedName>
    <definedName name="hhhhh" hidden="1">{#N/A,#N/A,FALSE,"Aging Summary";#N/A,#N/A,FALSE,"Ratio Analysis";#N/A,#N/A,FALSE,"Test 120 Day Accts";#N/A,#N/A,FALSE,"Tickmarks"}</definedName>
    <definedName name="hhjjkjkj" hidden="1">{#N/A,#N/A,FALSE,"Aging Summary";#N/A,#N/A,FALSE,"Ratio Analysis";#N/A,#N/A,FALSE,"Test 120 Day Accts";#N/A,#N/A,FALSE,"Tickmarks"}</definedName>
    <definedName name="hhyy" hidden="1">{#N/A,#N/A,FALSE,"Aging Summary";#N/A,#N/A,FALSE,"Ratio Analysis";#N/A,#N/A,FALSE,"Test 120 Day Accts";#N/A,#N/A,FALSE,"Tickmarks"}</definedName>
    <definedName name="HIOO" hidden="1">{#N/A,#N/A,FALSE,"Aging Summary";#N/A,#N/A,FALSE,"Ratio Analysis";#N/A,#N/A,FALSE,"Test 120 Day Accts";#N/A,#N/A,FALSE,"Tickmarks"}</definedName>
    <definedName name="HISTORICO">[6]bien!$F$11</definedName>
    <definedName name="hj" hidden="1">{#N/A,#N/A,FALSE,"Aging Summary";#N/A,#N/A,FALSE,"Ratio Analysis";#N/A,#N/A,FALSE,"Test 120 Day Accts";#N/A,#N/A,FALSE,"Tickmarks"}</definedName>
    <definedName name="HKKKKK" hidden="1">{#N/A,#N/A,FALSE,"Aging Summary";#N/A,#N/A,FALSE,"Ratio Analysis";#N/A,#N/A,FALSE,"Test 120 Day Accts";#N/A,#N/A,FALSE,"Tickmarks"}</definedName>
    <definedName name="HOIJULOJ" hidden="1">{#N/A,#N/A,FALSE,"Aging Summary";#N/A,#N/A,FALSE,"Ratio Analysis";#N/A,#N/A,FALSE,"Test 120 Day Accts";#N/A,#N/A,FALSE,"Tickmarks"}</definedName>
    <definedName name="HTML_CodePage" hidden="1">1252</definedName>
    <definedName name="HTML_Control" hidden="1">{"'ICE  Agosto'!$A$60:$A$64","'ICE  Agosto'!$C$67"}</definedName>
    <definedName name="HTML_Description" hidden="1">""</definedName>
    <definedName name="HTML_Email" hidden="1">""</definedName>
    <definedName name="HTML_Header" hidden="1">"ICE  Agosto"</definedName>
    <definedName name="HTML_LastUpdate" hidden="1">"13-10-02"</definedName>
    <definedName name="HTML_LineAfter" hidden="1">FALSE</definedName>
    <definedName name="HTML_LineBefore" hidden="1">FALSE</definedName>
    <definedName name="HTML_Name" hidden="1">"Robinson Paz Grez"</definedName>
    <definedName name="HTML_OBDlg2" hidden="1">TRUE</definedName>
    <definedName name="HTML_OBDlg4" hidden="1">TRUE</definedName>
    <definedName name="HTML_OS" hidden="1">0</definedName>
    <definedName name="HTML_PathFile" hidden="1">"C:\MIS PROGRAMAS\Mis documentos\HTML.htm"</definedName>
    <definedName name="HTML_Title" hidden="1">"IVA Agosto 2002"</definedName>
    <definedName name="hvhjjj" hidden="1">{#N/A,#N/A,FALSE,"Aging Summary";#N/A,#N/A,FALSE,"Ratio Analysis";#N/A,#N/A,FALSE,"Test 120 Day Accts";#N/A,#N/A,FALSE,"Tickmarks"}</definedName>
    <definedName name="i" hidden="1">{#N/A,#N/A,FALSE,"Aging Summary";#N/A,#N/A,FALSE,"Ratio Analysis";#N/A,#N/A,FALSE,"Test 120 Day Accts";#N/A,#N/A,FALSE,"Tickmarks"}</definedName>
    <definedName name="iaUSOIAS" hidden="1">{#N/A,#N/A,FALSE,"Aging Summary";#N/A,#N/A,FALSE,"Ratio Analysis";#N/A,#N/A,FALSE,"Test 120 Day Accts";#N/A,#N/A,FALSE,"Tickmarks"}</definedName>
    <definedName name="ii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iiii" hidden="1">{#N/A,#N/A,FALSE,"Aging Summary";#N/A,#N/A,FALSE,"Ratio Analysis";#N/A,#N/A,FALSE,"Test 120 Day Accts";#N/A,#N/A,FALSE,"Tickmarks"}</definedName>
    <definedName name="IIIII" hidden="1">{#N/A,#N/A,FALSE,"Aging Summary";#N/A,#N/A,FALSE,"Ratio Analysis";#N/A,#N/A,FALSE,"Test 120 Day Accts";#N/A,#N/A,FALSE,"Tickmarks"}</definedName>
    <definedName name="IIOJUAOI" hidden="1">{#N/A,#N/A,FALSE,"Aging Summary";#N/A,#N/A,FALSE,"Ratio Analysis";#N/A,#N/A,FALSE,"Test 120 Day Accts";#N/A,#N/A,FALSE,"Tickmarks"}</definedName>
    <definedName name="IJUOIJLO" hidden="1">{#N/A,#N/A,FALSE,"Aging Summary";#N/A,#N/A,FALSE,"Ratio Analysis";#N/A,#N/A,FALSE,"Test 120 Day Accts";#N/A,#N/A,FALSE,"Tickmarks"}</definedName>
    <definedName name="ikol" hidden="1">{#N/A,#N/A,FALSE,"Aging Summary";#N/A,#N/A,FALSE,"Ratio Analysis";#N/A,#N/A,FALSE,"Test 120 Day Accts";#N/A,#N/A,FALSE,"Tickmarks"}</definedName>
    <definedName name="ILOJLKJL" hidden="1">{#N/A,#N/A,FALSE,"Aging Summary";#N/A,#N/A,FALSE,"Ratio Analysis";#N/A,#N/A,FALSE,"Test 120 Day Accts";#N/A,#N/A,FALSE,"Tickmarks"}</definedName>
    <definedName name="Incidents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Industrial__I" localSheetId="14">'[7]BD Compras'!#REF!</definedName>
    <definedName name="Industrial__I" localSheetId="8">'[7]BD Compras'!#REF!</definedName>
    <definedName name="Industrial__I" localSheetId="6">'[7]BD Compras'!#REF!</definedName>
    <definedName name="Industrial__I" localSheetId="9">'[7]BD Compras'!#REF!</definedName>
    <definedName name="Industrial__I" localSheetId="16">'[7]BD Compras'!#REF!</definedName>
    <definedName name="Industrial__I" localSheetId="3">'[7]BD Compras'!#REF!</definedName>
    <definedName name="Industrial__I" localSheetId="12">'[7]BD Compras'!#REF!</definedName>
    <definedName name="Industrial__I" localSheetId="21">'[7]BD Compras'!#REF!</definedName>
    <definedName name="Industrial__I" localSheetId="10">'[7]BD Compras'!#REF!</definedName>
    <definedName name="Industrial__I" localSheetId="17">'[7]BD Compras'!#REF!</definedName>
    <definedName name="Industrial__I">'[7]BD Compras'!#REF!</definedName>
    <definedName name="inicial">'[6]calculos planilla'!$S$3:$U$14</definedName>
    <definedName name="insumos" localSheetId="14" hidden="1">#REF!</definedName>
    <definedName name="insumos" localSheetId="8" hidden="1">#REF!</definedName>
    <definedName name="insumos" localSheetId="6" hidden="1">#REF!</definedName>
    <definedName name="insumos" localSheetId="9" hidden="1">#REF!</definedName>
    <definedName name="insumos" localSheetId="16" hidden="1">#REF!</definedName>
    <definedName name="insumos" localSheetId="3" hidden="1">#REF!</definedName>
    <definedName name="insumos" localSheetId="12" hidden="1">#REF!</definedName>
    <definedName name="insumos" localSheetId="21" hidden="1">#REF!</definedName>
    <definedName name="insumos" localSheetId="10" hidden="1">#REF!</definedName>
    <definedName name="insumos" localSheetId="17" hidden="1">#REF!</definedName>
    <definedName name="insumos" hidden="1">#REF!</definedName>
    <definedName name="Inv" hidden="1">{#N/A,#N/A,FALSE,"Aging Summary";#N/A,#N/A,FALSE,"Ratio Analysis";#N/A,#N/A,FALSE,"Test 120 Day Accts";#N/A,#N/A,FALSE,"Tickmarks"}</definedName>
    <definedName name="INVERSION" localSheetId="2">#REF!</definedName>
    <definedName name="INVERSION" localSheetId="14">#REF!</definedName>
    <definedName name="INVERSION" localSheetId="8">#REF!</definedName>
    <definedName name="INVERSION" localSheetId="6">#REF!</definedName>
    <definedName name="INVERSION" localSheetId="9">#REF!</definedName>
    <definedName name="INVERSION" localSheetId="1">#REF!</definedName>
    <definedName name="INVERSION" localSheetId="16">#REF!</definedName>
    <definedName name="INVERSION" localSheetId="3">#REF!</definedName>
    <definedName name="INVERSION" localSheetId="0">#REF!</definedName>
    <definedName name="INVERSION" localSheetId="12">#REF!</definedName>
    <definedName name="INVERSION" localSheetId="20">#REF!</definedName>
    <definedName name="INVERSION" localSheetId="19">#REF!</definedName>
    <definedName name="INVERSION" localSheetId="21">#REF!</definedName>
    <definedName name="INVERSION" localSheetId="11">#REF!</definedName>
    <definedName name="INVERSION" localSheetId="7">#REF!</definedName>
    <definedName name="INVERSION" localSheetId="10">#REF!</definedName>
    <definedName name="INVERSION" localSheetId="17">#REF!</definedName>
    <definedName name="INVERSION">#REF!</definedName>
    <definedName name="ipc">'[6]calculos planilla'!$P$3:$Q$146</definedName>
    <definedName name="IUUIIU" hidden="1">{#N/A,#N/A,FALSE,"Aging Summary";#N/A,#N/A,FALSE,"Ratio Analysis";#N/A,#N/A,FALSE,"Test 120 Day Accts";#N/A,#N/A,FALSE,"Tickmarks"}</definedName>
    <definedName name="jj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JJJ" hidden="1">{#N/A,#N/A,FALSE,"Aging Summary";#N/A,#N/A,FALSE,"Ratio Analysis";#N/A,#N/A,FALSE,"Test 120 Day Accts";#N/A,#N/A,FALSE,"Tickmarks"}</definedName>
    <definedName name="jjjj" hidden="1">{#N/A,#N/A,TRUE," L.MAROC";#N/A,#N/A,TRUE,"SIE";#N/A,#N/A,TRUE,"ELIM L.GROUPE";#N/A,#N/A,TRUE,"ACTIVITE CIMENTIERE";#N/A,#N/A,TRUE,"ELIM ACTIVITE CIMENTIERE";#N/A,#N/A,TRUE,"SYNTHES L. CIMENT";#N/A,#N/A,TRUE,"BOUSKOURA";#N/A,#N/A,TRUE,"MEKNES";#N/A,#N/A,TRUE,"ELIM L.CIMENT";#N/A,#N/A,TRUE,"SYNTHESE L.CEMENTOS";#N/A,#N/A,TRUE,"TANGER";#N/A,#N/A,TRUE,"TETOUAN";#N/A,#N/A,TRUE,"ELIM L.CEMENTOS"}</definedName>
    <definedName name="jjjjj" hidden="1">{#N/A,#N/A,TRUE," L.MAROC";#N/A,#N/A,TRUE,"SIE";#N/A,#N/A,TRUE,"ELIM L.GROUPE";#N/A,#N/A,TRUE,"ACTIVITE CIMENTIERE";#N/A,#N/A,TRUE,"ELIM ACTIVITE CIMENTIERE";#N/A,#N/A,TRUE,"SYNTHES L. CIMENT";#N/A,#N/A,TRUE,"BOUSKOURA";#N/A,#N/A,TRUE,"MEKNES";#N/A,#N/A,TRUE,"ELIM L.CIMENT";#N/A,#N/A,TRUE,"SYNTHESE L.CEMENTOS";#N/A,#N/A,TRUE,"TANGER";#N/A,#N/A,TRUE,"TETOUAN";#N/A,#N/A,TRUE,"ELIM L.CEMENTOS"}</definedName>
    <definedName name="jjkjhkjk" hidden="1">{#N/A,#N/A,FALSE,"Aging Summary";#N/A,#N/A,FALSE,"Ratio Analysis";#N/A,#N/A,FALSE,"Test 120 Day Accts";#N/A,#N/A,FALSE,"Tickmarks"}</definedName>
    <definedName name="JKJKLKJLKLÑL" hidden="1">{#N/A,#N/A,FALSE,"Aging Summary";#N/A,#N/A,FALSE,"Ratio Analysis";#N/A,#N/A,FALSE,"Test 120 Day Accts";#N/A,#N/A,FALSE,"Tickmarks"}</definedName>
    <definedName name="JOIKHKK" hidden="1">{#N/A,#N/A,FALSE,"Aging Summary";#N/A,#N/A,FALSE,"Ratio Analysis";#N/A,#N/A,FALSE,"Test 120 Day Accts";#N/A,#N/A,FALSE,"Tickmarks"}</definedName>
    <definedName name="JR_PAGE_ANCHOR_0_1" localSheetId="14">#REF!</definedName>
    <definedName name="JR_PAGE_ANCHOR_0_1" localSheetId="8">#REF!</definedName>
    <definedName name="JR_PAGE_ANCHOR_0_1" localSheetId="6">#REF!</definedName>
    <definedName name="JR_PAGE_ANCHOR_0_1" localSheetId="9">#REF!</definedName>
    <definedName name="JR_PAGE_ANCHOR_0_1" localSheetId="16">#REF!</definedName>
    <definedName name="JR_PAGE_ANCHOR_0_1" localSheetId="3">#REF!</definedName>
    <definedName name="JR_PAGE_ANCHOR_0_1" localSheetId="12">#REF!</definedName>
    <definedName name="JR_PAGE_ANCHOR_0_1" localSheetId="21">#REF!</definedName>
    <definedName name="JR_PAGE_ANCHOR_0_1" localSheetId="10">#REF!</definedName>
    <definedName name="JR_PAGE_ANCHOR_0_1" localSheetId="17">#REF!</definedName>
    <definedName name="JR_PAGE_ANCHOR_0_1">#REF!</definedName>
    <definedName name="k" hidden="1">{#N/A,#N/A,FALSE,"Aging Summary";#N/A,#N/A,FALSE,"Ratio Analysis";#N/A,#N/A,FALSE,"Test 120 Day Accts";#N/A,#N/A,FALSE,"Tickmarks"}</definedName>
    <definedName name="kfh" hidden="1">{#N/A,#N/A,FALSE,"Aging Summary";#N/A,#N/A,FALSE,"Ratio Analysis";#N/A,#N/A,FALSE,"Test 120 Day Accts";#N/A,#N/A,FALSE,"Tickmarks"}</definedName>
    <definedName name="LABOCLINICO" hidden="1">{#N/A,#N/A,FALSE,"Aging Summary";#N/A,#N/A,FALSE,"Ratio Analysis";#N/A,#N/A,FALSE,"Test 120 Day Accts";#N/A,#N/A,FALSE,"Tickmarks"}</definedName>
    <definedName name="LABOCLINICO1" hidden="1">{#N/A,#N/A,FALSE,"Aging Summary";#N/A,#N/A,FALSE,"Ratio Analysis";#N/A,#N/A,FALSE,"Test 120 Day Accts";#N/A,#N/A,FALSE,"Tickmarks"}</definedName>
    <definedName name="lkj" hidden="1">{#N/A,#N/A,FALSE,"Aging Summary";#N/A,#N/A,FALSE,"Ratio Analysis";#N/A,#N/A,FALSE,"Test 120 Day Accts";#N/A,#N/A,FALSE,"Tickmarks"}</definedName>
    <definedName name="LLL" hidden="1">{#N/A,#N/A,FALSE,"Aging Summary";#N/A,#N/A,FALSE,"Ratio Analysis";#N/A,#N/A,FALSE,"Test 120 Day Accts";#N/A,#N/A,FALSE,"Tickmarks"}</definedName>
    <definedName name="LORE" hidden="1">{#N/A,#N/A,FALSE,"Aging Summary";#N/A,#N/A,FALSE,"Ratio Analysis";#N/A,#N/A,FALSE,"Test 120 Day Accts";#N/A,#N/A,FALSE,"Tickmarks"}</definedName>
    <definedName name="lorenaortiz" hidden="1">{#N/A,#N/A,FALSE,"Aging Summary";#N/A,#N/A,FALSE,"Ratio Analysis";#N/A,#N/A,FALSE,"Test 120 Day Accts";#N/A,#N/A,FALSE,"Tickmarks"}</definedName>
    <definedName name="MARIA" hidden="1">{#N/A,#N/A,FALSE,"Aging Summary";#N/A,#N/A,FALSE,"Ratio Analysis";#N/A,#N/A,FALSE,"Test 120 Day Accts";#N/A,#N/A,FALSE,"Tickmarks"}</definedName>
    <definedName name="matriz" localSheetId="2">#REF!</definedName>
    <definedName name="matriz" localSheetId="14">#REF!</definedName>
    <definedName name="matriz" localSheetId="8">#REF!</definedName>
    <definedName name="matriz" localSheetId="6">#REF!</definedName>
    <definedName name="matriz" localSheetId="9">#REF!</definedName>
    <definedName name="matriz" localSheetId="1">#REF!</definedName>
    <definedName name="matriz" localSheetId="16">#REF!</definedName>
    <definedName name="matriz" localSheetId="3">#REF!</definedName>
    <definedName name="matriz" localSheetId="0">#REF!</definedName>
    <definedName name="matriz" localSheetId="12">#REF!</definedName>
    <definedName name="matriz" localSheetId="20">#REF!</definedName>
    <definedName name="matriz" localSheetId="19">#REF!</definedName>
    <definedName name="matriz" localSheetId="21">#REF!</definedName>
    <definedName name="matriz" localSheetId="7">#REF!</definedName>
    <definedName name="matriz" localSheetId="10">#REF!</definedName>
    <definedName name="matriz" localSheetId="17">#REF!</definedName>
    <definedName name="matriz">#REF!</definedName>
    <definedName name="matriz2" localSheetId="2">#REF!</definedName>
    <definedName name="matriz2" localSheetId="14">#REF!</definedName>
    <definedName name="matriz2" localSheetId="8">#REF!</definedName>
    <definedName name="matriz2" localSheetId="6">#REF!</definedName>
    <definedName name="matriz2" localSheetId="9">#REF!</definedName>
    <definedName name="matriz2" localSheetId="1">#REF!</definedName>
    <definedName name="matriz2" localSheetId="16">#REF!</definedName>
    <definedName name="matriz2" localSheetId="3">#REF!</definedName>
    <definedName name="matriz2" localSheetId="0">#REF!</definedName>
    <definedName name="matriz2" localSheetId="12">#REF!</definedName>
    <definedName name="matriz2" localSheetId="21">#REF!</definedName>
    <definedName name="matriz2" localSheetId="7">#REF!</definedName>
    <definedName name="matriz2" localSheetId="10">#REF!</definedName>
    <definedName name="matriz2" localSheetId="17">#REF!</definedName>
    <definedName name="matriz2">#REF!</definedName>
    <definedName name="mio" hidden="1">{#N/A,#N/A,FALSE,"Aging Summary";#N/A,#N/A,FALSE,"Ratio Analysis";#N/A,#N/A,FALSE,"Test 120 Day Accts";#N/A,#N/A,FALSE,"Tickmarks"}</definedName>
    <definedName name="mklkl" hidden="1">{#N/A,#N/A,FALSE,"Aging Summary";#N/A,#N/A,FALSE,"Ratio Analysis";#N/A,#N/A,FALSE,"Test 120 Day Accts";#N/A,#N/A,FALSE,"Tickmarks"}</definedName>
    <definedName name="mmm" localSheetId="14">#REF!</definedName>
    <definedName name="mmm" localSheetId="8">#REF!</definedName>
    <definedName name="mmm" localSheetId="6">#REF!</definedName>
    <definedName name="mmm" localSheetId="9">#REF!</definedName>
    <definedName name="mmm" localSheetId="16">#REF!</definedName>
    <definedName name="mmm" localSheetId="3">#REF!</definedName>
    <definedName name="mmm" localSheetId="12">#REF!</definedName>
    <definedName name="mmm" localSheetId="20">#REF!</definedName>
    <definedName name="mmm" localSheetId="19">#REF!</definedName>
    <definedName name="mmm" localSheetId="21">#REF!</definedName>
    <definedName name="mmm" localSheetId="10">#REF!</definedName>
    <definedName name="mmm" localSheetId="17">#REF!</definedName>
    <definedName name="mmm">#REF!</definedName>
    <definedName name="NEW" localSheetId="14" hidden="1">#REF!</definedName>
    <definedName name="NEW" localSheetId="8" hidden="1">#REF!</definedName>
    <definedName name="NEW" localSheetId="6" hidden="1">#REF!</definedName>
    <definedName name="NEW" localSheetId="9" hidden="1">#REF!</definedName>
    <definedName name="NEW" localSheetId="16" hidden="1">#REF!</definedName>
    <definedName name="NEW" localSheetId="3" hidden="1">#REF!</definedName>
    <definedName name="NEW" localSheetId="12" hidden="1">#REF!</definedName>
    <definedName name="NEW" localSheetId="21" hidden="1">#REF!</definedName>
    <definedName name="NEW" localSheetId="10" hidden="1">#REF!</definedName>
    <definedName name="NEW" localSheetId="17" hidden="1">#REF!</definedName>
    <definedName name="NEW" hidden="1">#REF!</definedName>
    <definedName name="Nota9" hidden="1">{#N/A,#N/A,FALSE,"Aging Summary";#N/A,#N/A,FALSE,"Ratio Analysis";#N/A,#N/A,FALSE,"Test 120 Day Accts";#N/A,#N/A,FALSE,"Tickmarks"}</definedName>
    <definedName name="Nuevo" hidden="1">{#N/A,#N/A,FALSE,"Aging Summary";#N/A,#N/A,FALSE,"Ratio Analysis";#N/A,#N/A,FALSE,"Test 120 Day Accts";#N/A,#N/A,FALSE,"Tickmarks"}</definedName>
    <definedName name="nuevo2" hidden="1">{#N/A,#N/A,FALSE,"Aging Summary";#N/A,#N/A,FALSE,"Ratio Analysis";#N/A,#N/A,FALSE,"Test 120 Day Accts";#N/A,#N/A,FALSE,"Tickmarks"}</definedName>
    <definedName name="nuevo3" hidden="1">{#N/A,#N/A,FALSE,"Aging Summary";#N/A,#N/A,FALSE,"Ratio Analysis";#N/A,#N/A,FALSE,"Test 120 Day Accts";#N/A,#N/A,FALSE,"Tickmarks"}</definedName>
    <definedName name="Nuevo4" hidden="1">{#N/A,#N/A,FALSE,"Aging Summary";#N/A,#N/A,FALSE,"Ratio Analysis";#N/A,#N/A,FALSE,"Test 120 Day Accts";#N/A,#N/A,FALSE,"Tickmarks"}</definedName>
    <definedName name="ñ" hidden="1">{#N/A,#N/A,FALSE,"Aging Summary";#N/A,#N/A,FALSE,"Ratio Analysis";#N/A,#N/A,FALSE,"Test 120 Day Accts";#N/A,#N/A,FALSE,"Tickmarks"}</definedName>
    <definedName name="ñkklk" hidden="1">{#N/A,#N/A,FALSE,"Aging Summary";#N/A,#N/A,FALSE,"Ratio Analysis";#N/A,#N/A,FALSE,"Test 120 Day Accts";#N/A,#N/A,FALSE,"Tickmarks"}</definedName>
    <definedName name="ÑLKLÑ" localSheetId="14" hidden="1">#REF!</definedName>
    <definedName name="ÑLKLÑ" localSheetId="8" hidden="1">#REF!</definedName>
    <definedName name="ÑLKLÑ" localSheetId="6" hidden="1">#REF!</definedName>
    <definedName name="ÑLKLÑ" localSheetId="9" hidden="1">#REF!</definedName>
    <definedName name="ÑLKLÑ" localSheetId="16" hidden="1">#REF!</definedName>
    <definedName name="ÑLKLÑ" localSheetId="3" hidden="1">#REF!</definedName>
    <definedName name="ÑLKLÑ" localSheetId="12" hidden="1">#REF!</definedName>
    <definedName name="ÑLKLÑ" localSheetId="21" hidden="1">#REF!</definedName>
    <definedName name="ÑLKLÑ" localSheetId="10" hidden="1">#REF!</definedName>
    <definedName name="ÑLKLÑ" localSheetId="17" hidden="1">#REF!</definedName>
    <definedName name="ÑLKLÑ" hidden="1">#REF!</definedName>
    <definedName name="OCTUBRE" hidden="1">{"'ICE  Agosto'!$A$60:$A$64","'ICE  Agosto'!$C$67"}</definedName>
    <definedName name="oiuhe8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oja" hidden="1">{#N/A,#N/A,FALSE,"Aging Summary";#N/A,#N/A,FALSE,"Ratio Analysis";#N/A,#N/A,FALSE,"Test 120 Day Accts";#N/A,#N/A,FALSE,"Tickmarks"}</definedName>
    <definedName name="oojop" hidden="1">{#N/A,#N/A,FALSE,"Aging Summary";#N/A,#N/A,FALSE,"Ratio Analysis";#N/A,#N/A,FALSE,"Test 120 Day Accts";#N/A,#N/A,FALSE,"Tickmarks"}</definedName>
    <definedName name="OOOO" hidden="1">{#N/A,#N/A,FALSE,"Aging Summary";#N/A,#N/A,FALSE,"Ratio Analysis";#N/A,#N/A,FALSE,"Test 120 Day Accts";#N/A,#N/A,FALSE,"Tickmarks"}</definedName>
    <definedName name="OOOOO" hidden="1">{#N/A,#N/A,FALSE,"Aging Summary";#N/A,#N/A,FALSE,"Ratio Analysis";#N/A,#N/A,FALSE,"Test 120 Day Accts";#N/A,#N/A,FALSE,"Tickmarks"}</definedName>
    <definedName name="operacion" localSheetId="2">#REF!</definedName>
    <definedName name="operacion" localSheetId="14">#REF!</definedName>
    <definedName name="operacion" localSheetId="8">#REF!</definedName>
    <definedName name="operacion" localSheetId="6">#REF!</definedName>
    <definedName name="operacion" localSheetId="9">#REF!</definedName>
    <definedName name="operacion" localSheetId="1">#REF!</definedName>
    <definedName name="operacion" localSheetId="16">#REF!</definedName>
    <definedName name="operacion" localSheetId="3">#REF!</definedName>
    <definedName name="operacion" localSheetId="0">#REF!</definedName>
    <definedName name="operacion" localSheetId="12">#REF!</definedName>
    <definedName name="operacion" localSheetId="21">#REF!</definedName>
    <definedName name="operacion" localSheetId="11">#REF!</definedName>
    <definedName name="operacion" localSheetId="7">#REF!</definedName>
    <definedName name="operacion" localSheetId="10">#REF!</definedName>
    <definedName name="operacion" localSheetId="17">#REF!</definedName>
    <definedName name="operacion">#REF!</definedName>
    <definedName name="OPERACION1" localSheetId="14">#REF!</definedName>
    <definedName name="OPERACION1" localSheetId="8">#REF!</definedName>
    <definedName name="OPERACION1" localSheetId="6">#REF!</definedName>
    <definedName name="OPERACION1" localSheetId="9">#REF!</definedName>
    <definedName name="OPERACION1" localSheetId="1">#REF!</definedName>
    <definedName name="OPERACION1" localSheetId="16">#REF!</definedName>
    <definedName name="OPERACION1" localSheetId="3">#REF!</definedName>
    <definedName name="OPERACION1" localSheetId="0">#REF!</definedName>
    <definedName name="OPERACION1" localSheetId="12">#REF!</definedName>
    <definedName name="OPERACION1" localSheetId="21">#REF!</definedName>
    <definedName name="OPERACION1" localSheetId="11">#REF!</definedName>
    <definedName name="OPERACION1" localSheetId="7">#REF!</definedName>
    <definedName name="OPERACION1" localSheetId="10">#REF!</definedName>
    <definedName name="OPERACION1" localSheetId="17">#REF!</definedName>
    <definedName name="OPERACION1">#REF!</definedName>
    <definedName name="operacion4" localSheetId="14">#REF!</definedName>
    <definedName name="operacion4" localSheetId="8">#REF!</definedName>
    <definedName name="operacion4" localSheetId="6">#REF!</definedName>
    <definedName name="operacion4" localSheetId="9">#REF!</definedName>
    <definedName name="operacion4" localSheetId="16">#REF!</definedName>
    <definedName name="operacion4" localSheetId="3">#REF!</definedName>
    <definedName name="operacion4" localSheetId="12">#REF!</definedName>
    <definedName name="operacion4" localSheetId="20">#REF!</definedName>
    <definedName name="operacion4" localSheetId="19">#REF!</definedName>
    <definedName name="operacion4" localSheetId="21">#REF!</definedName>
    <definedName name="operacion4" localSheetId="10">#REF!</definedName>
    <definedName name="operacion4" localSheetId="17">#REF!</definedName>
    <definedName name="operacion4">#REF!</definedName>
    <definedName name="ORDENADO" localSheetId="14">#REF!</definedName>
    <definedName name="ORDENADO" localSheetId="8">#REF!</definedName>
    <definedName name="ORDENADO" localSheetId="6">#REF!</definedName>
    <definedName name="ORDENADO" localSheetId="9">#REF!</definedName>
    <definedName name="ORDENADO" localSheetId="16">#REF!</definedName>
    <definedName name="ORDENADO" localSheetId="3">#REF!</definedName>
    <definedName name="ORDENADO" localSheetId="0">#REF!</definedName>
    <definedName name="ORDENADO" localSheetId="12">#REF!</definedName>
    <definedName name="ORDENADO" localSheetId="20">#REF!</definedName>
    <definedName name="ORDENADO" localSheetId="19">#REF!</definedName>
    <definedName name="ORDENADO" localSheetId="21">#REF!</definedName>
    <definedName name="ORDENADO" localSheetId="7">#REF!</definedName>
    <definedName name="ORDENADO" localSheetId="10">#REF!</definedName>
    <definedName name="ORDENADO" localSheetId="17">#REF!</definedName>
    <definedName name="ORDENADO">#REF!</definedName>
    <definedName name="p" hidden="1">{#N/A,#N/A,FALSE,"Aging Summary";#N/A,#N/A,FALSE,"Ratio Analysis";#N/A,#N/A,FALSE,"Test 120 Day Accts";#N/A,#N/A,FALSE,"Tickmarks"}</definedName>
    <definedName name="pais">[5]definiciones!$C$2:$C$256</definedName>
    <definedName name="pajfhaj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pert" localSheetId="14">#REF!</definedName>
    <definedName name="pert" localSheetId="8">#REF!</definedName>
    <definedName name="pert" localSheetId="6">#REF!</definedName>
    <definedName name="pert" localSheetId="9">#REF!</definedName>
    <definedName name="pert" localSheetId="16">#REF!</definedName>
    <definedName name="pert" localSheetId="3">#REF!</definedName>
    <definedName name="pert" localSheetId="12">#REF!</definedName>
    <definedName name="pert" localSheetId="20">#REF!</definedName>
    <definedName name="pert" localSheetId="19">#REF!</definedName>
    <definedName name="pert" localSheetId="21">#REF!</definedName>
    <definedName name="pert" localSheetId="10">#REF!</definedName>
    <definedName name="pert" localSheetId="17">#REF!</definedName>
    <definedName name="pert">#REF!</definedName>
    <definedName name="PLAN02" hidden="1">{#N/A,#N/A,FALSE,"Cover (Japan)";#N/A,#N/A,FALSE,"Index";#N/A,#N/A,FALSE,"Comment sum"}</definedName>
    <definedName name="poto" hidden="1">{#N/A,#N/A,FALSE,"Aging Summary";#N/A,#N/A,FALSE,"Ratio Analysis";#N/A,#N/A,FALSE,"Test 120 Day Accts";#N/A,#N/A,FALSE,"Tickmarks"}</definedName>
    <definedName name="ppmxxx" hidden="1">{#N/A,#N/A,FALSE,"Aging Summary";#N/A,#N/A,FALSE,"Ratio Analysis";#N/A,#N/A,FALSE,"Test 120 Day Accts";#N/A,#N/A,FALSE,"Tickmarks"}</definedName>
    <definedName name="PPPP1" hidden="1">{#N/A,#N/A,FALSE,"Aging Summary";#N/A,#N/A,FALSE,"Ratio Analysis";#N/A,#N/A,FALSE,"Test 120 Day Accts";#N/A,#N/A,FALSE,"Tickmarks"}</definedName>
    <definedName name="PPPPP" hidden="1">{#N/A,#N/A,FALSE,"Aging Summary";#N/A,#N/A,FALSE,"Ratio Analysis";#N/A,#N/A,FALSE,"Test 120 Day Accts";#N/A,#N/A,FALSE,"Tickmarks"}</definedName>
    <definedName name="PPPPPP" hidden="1">{#N/A,#N/A,FALSE,"Aging Summary";#N/A,#N/A,FALSE,"Ratio Analysis";#N/A,#N/A,FALSE,"Test 120 Day Accts";#N/A,#N/A,FALSE,"Tickmarks"}</definedName>
    <definedName name="Prov" hidden="1">"Ctas Analisis Acreedores"</definedName>
    <definedName name="provision" hidden="1">{#N/A,#N/A,FALSE,"Aging Summary";#N/A,#N/A,FALSE,"Ratio Analysis";#N/A,#N/A,FALSE,"Test 120 Day Accts";#N/A,#N/A,FALSE,"Tickmarks"}</definedName>
    <definedName name="q" hidden="1">{#N/A,#N/A,FALSE,"Aging Summary";#N/A,#N/A,FALSE,"Ratio Analysis";#N/A,#N/A,FALSE,"Test 120 Day Accts";#N/A,#N/A,FALSE,"Tickmarks"}</definedName>
    <definedName name="qedDW" hidden="1">{#N/A,#N/A,FALSE,"Aging Summary";#N/A,#N/A,FALSE,"Ratio Analysis";#N/A,#N/A,FALSE,"Test 120 Day Accts";#N/A,#N/A,FALSE,"Tickmarks"}</definedName>
    <definedName name="R.L.I.2000.1" hidden="1">{#N/A,#N/A,FALSE,"Aging Summary";#N/A,#N/A,FALSE,"Ratio Analysis";#N/A,#N/A,FALSE,"Test 120 Day Accts";#N/A,#N/A,FALSE,"Tickmarks"}</definedName>
    <definedName name="rer" hidden="1">{#N/A,#N/A,FALSE,"Aging Summary";#N/A,#N/A,FALSE,"Ratio Analysis";#N/A,#N/A,FALSE,"Test 120 Day Accts";#N/A,#N/A,FALSE,"Tickmarks"}</definedName>
    <definedName name="rr" hidden="1">{#N/A,#N/A,FALSE,"Aging Summary";#N/A,#N/A,FALSE,"Ratio Analysis";#N/A,#N/A,FALSE,"Test 120 Day Accts";#N/A,#N/A,FALSE,"Tickmarks"}</definedName>
    <definedName name="RRRR" localSheetId="14">#REF!</definedName>
    <definedName name="RRRR" localSheetId="8">#REF!</definedName>
    <definedName name="RRRR" localSheetId="6">#REF!</definedName>
    <definedName name="RRRR" localSheetId="9">#REF!</definedName>
    <definedName name="RRRR" localSheetId="16">#REF!</definedName>
    <definedName name="RRRR" localSheetId="3">#REF!</definedName>
    <definedName name="RRRR" localSheetId="0">#REF!</definedName>
    <definedName name="RRRR" localSheetId="12">#REF!</definedName>
    <definedName name="RRRR" localSheetId="20">#REF!</definedName>
    <definedName name="RRRR" localSheetId="19">#REF!</definedName>
    <definedName name="RRRR" localSheetId="21">#REF!</definedName>
    <definedName name="RRRR" localSheetId="7">#REF!</definedName>
    <definedName name="RRRR" localSheetId="10">#REF!</definedName>
    <definedName name="RRRR" localSheetId="17">#REF!</definedName>
    <definedName name="RRRR">#REF!</definedName>
    <definedName name="s" hidden="1">{#N/A,#N/A,FALSE,"Aging Summary";#N/A,#N/A,FALSE,"Ratio Analysis";#N/A,#N/A,FALSE,"Test 120 Day Accts";#N/A,#N/A,FALSE,"Tickmarks"}</definedName>
    <definedName name="sd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sdaad" hidden="1">{#N/A,#N/A,FALSE,"Aging Summary";#N/A,#N/A,FALSE,"Ratio Analysis";#N/A,#N/A,FALSE,"Test 120 Day Accts";#N/A,#N/A,FALSE,"Tickmarks"}</definedName>
    <definedName name="sdfasdad" hidden="1">{#N/A,#N/A,FALSE,"Aging Summary";#N/A,#N/A,FALSE,"Ratio Analysis";#N/A,#N/A,FALSE,"Test 120 Day Accts";#N/A,#N/A,FALSE,"Tickmarks"}</definedName>
    <definedName name="sdsdsf" hidden="1">{#N/A,#N/A,FALSE,"Aging Summary";#N/A,#N/A,FALSE,"Ratio Analysis";#N/A,#N/A,FALSE,"Test 120 Day Accts";#N/A,#N/A,FALSE,"Tickmarks"}</definedName>
    <definedName name="sino">[5]definiciones!$E$2:$E$3</definedName>
    <definedName name="SOIQJUSI" hidden="1">{#N/A,#N/A,FALSE,"Aging Summary";#N/A,#N/A,FALSE,"Ratio Analysis";#N/A,#N/A,FALSE,"Test 120 Day Accts";#N/A,#N/A,FALSE,"Tickmarks"}</definedName>
    <definedName name="SPSet">"current"</definedName>
    <definedName name="SPWS_WBID">""</definedName>
    <definedName name="sqsqs" hidden="1">{#N/A,#N/A,FALSE,"Aging Summary";#N/A,#N/A,FALSE,"Ratio Analysis";#N/A,#N/A,FALSE,"Test 120 Day Accts";#N/A,#N/A,FALSE,"Tickmarks"}</definedName>
    <definedName name="SRDF" localSheetId="14">#REF!</definedName>
    <definedName name="SRDF" localSheetId="8">#REF!</definedName>
    <definedName name="SRDF" localSheetId="6">#REF!</definedName>
    <definedName name="SRDF" localSheetId="9">#REF!</definedName>
    <definedName name="SRDF" localSheetId="16">#REF!</definedName>
    <definedName name="SRDF" localSheetId="3">#REF!</definedName>
    <definedName name="SRDF" localSheetId="0">#REF!</definedName>
    <definedName name="SRDF" localSheetId="12">#REF!</definedName>
    <definedName name="SRDF" localSheetId="20">#REF!</definedName>
    <definedName name="SRDF" localSheetId="19">#REF!</definedName>
    <definedName name="SRDF" localSheetId="21">#REF!</definedName>
    <definedName name="SRDF" localSheetId="7">#REF!</definedName>
    <definedName name="SRDF" localSheetId="10">#REF!</definedName>
    <definedName name="SRDF" localSheetId="17">#REF!</definedName>
    <definedName name="SRDF">#REF!</definedName>
    <definedName name="ssss" localSheetId="14">#REF!</definedName>
    <definedName name="ssss" localSheetId="8">#REF!</definedName>
    <definedName name="ssss" localSheetId="6">#REF!</definedName>
    <definedName name="ssss" localSheetId="9">#REF!</definedName>
    <definedName name="ssss" localSheetId="16">#REF!</definedName>
    <definedName name="ssss" localSheetId="3">#REF!</definedName>
    <definedName name="ssss" localSheetId="12">#REF!</definedName>
    <definedName name="ssss" localSheetId="20">#REF!</definedName>
    <definedName name="ssss" localSheetId="19">#REF!</definedName>
    <definedName name="ssss" localSheetId="21">#REF!</definedName>
    <definedName name="ssss" localSheetId="10">#REF!</definedName>
    <definedName name="ssss" localSheetId="17">#REF!</definedName>
    <definedName name="ssss">#REF!</definedName>
    <definedName name="swssasa" hidden="1">{#N/A,#N/A,FALSE,"Aging Summary";#N/A,#N/A,FALSE,"Ratio Analysis";#N/A,#N/A,FALSE,"Test 120 Day Accts";#N/A,#N/A,FALSE,"Tickmarks"}</definedName>
    <definedName name="t" hidden="1">{#N/A,#N/A,FALSE,"Aging Summary";#N/A,#N/A,FALSE,"Ratio Analysis";#N/A,#N/A,FALSE,"Test 120 Day Accts";#N/A,#N/A,FALSE,"Tickmarks"}</definedName>
    <definedName name="T.8" hidden="1">{#N/A,#N/A,FALSE,"Aging Summary";#N/A,#N/A,FALSE,"Ratio Analysis";#N/A,#N/A,FALSE,"Test 120 Day Accts";#N/A,#N/A,FALSE,"Tickmarks"}</definedName>
    <definedName name="TABLAS" localSheetId="2">#REF!</definedName>
    <definedName name="TABLAS" localSheetId="14">#REF!</definedName>
    <definedName name="TABLAS" localSheetId="8">#REF!</definedName>
    <definedName name="TABLAS" localSheetId="6">#REF!</definedName>
    <definedName name="TABLAS" localSheetId="9">#REF!</definedName>
    <definedName name="TABLAS" localSheetId="1">#REF!</definedName>
    <definedName name="TABLAS" localSheetId="16">#REF!</definedName>
    <definedName name="TABLAS" localSheetId="3">#REF!</definedName>
    <definedName name="TABLAS" localSheetId="0">#REF!</definedName>
    <definedName name="TABLAS" localSheetId="12">#REF!</definedName>
    <definedName name="TABLAS" localSheetId="21">#REF!</definedName>
    <definedName name="TABLAS" localSheetId="7">#REF!</definedName>
    <definedName name="TABLAS" localSheetId="10">#REF!</definedName>
    <definedName name="TABLAS" localSheetId="17">#REF!</definedName>
    <definedName name="TABLAS">#REF!</definedName>
    <definedName name="TextRefCopyRangeCount" hidden="1">2</definedName>
    <definedName name="tt" hidden="1">{#N/A,#N/A,FALSE,"Aging Summary";#N/A,#N/A,FALSE,"Ratio Analysis";#N/A,#N/A,FALSE,"Test 120 Day Accts";#N/A,#N/A,FALSE,"Tickmarks"}</definedName>
    <definedName name="TTFFFFVVGGT" hidden="1">{#N/A,#N/A,FALSE,"Aging Summary";#N/A,#N/A,FALSE,"Ratio Analysis";#N/A,#N/A,FALSE,"Test 120 Day Accts";#N/A,#N/A,FALSE,"Tickmarks"}</definedName>
    <definedName name="TTTT" localSheetId="14">#REF!</definedName>
    <definedName name="TTTT" localSheetId="8">#REF!</definedName>
    <definedName name="TTTT" localSheetId="6">#REF!</definedName>
    <definedName name="TTTT" localSheetId="9">#REF!</definedName>
    <definedName name="TTTT" localSheetId="16">#REF!</definedName>
    <definedName name="TTTT" localSheetId="3">#REF!</definedName>
    <definedName name="TTTT" localSheetId="0">#REF!</definedName>
    <definedName name="TTTT" localSheetId="12">#REF!</definedName>
    <definedName name="TTTT" localSheetId="20">#REF!</definedName>
    <definedName name="TTTT" localSheetId="19">#REF!</definedName>
    <definedName name="TTTT" localSheetId="21">#REF!</definedName>
    <definedName name="TTTT" localSheetId="7">#REF!</definedName>
    <definedName name="TTTT" localSheetId="10">#REF!</definedName>
    <definedName name="TTTT" localSheetId="17">#REF!</definedName>
    <definedName name="TTTT">#REF!</definedName>
    <definedName name="u" hidden="1">{#N/A,#N/A,FALSE,"Aging Summary";#N/A,#N/A,FALSE,"Ratio Analysis";#N/A,#N/A,FALSE,"Test 120 Day Accts";#N/A,#N/A,FALSE,"Tickmarks"}</definedName>
    <definedName name="UHIHOJ" hidden="1">{#N/A,#N/A,FALSE,"Aging Summary";#N/A,#N/A,FALSE,"Ratio Analysis";#N/A,#N/A,FALSE,"Test 120 Day Accts";#N/A,#N/A,FALSE,"Tickmarks"}</definedName>
    <definedName name="UIIOI" hidden="1">{#N/A,#N/A,FALSE,"Aging Summary";#N/A,#N/A,FALSE,"Ratio Analysis";#N/A,#N/A,FALSE,"Test 120 Day Accts";#N/A,#N/A,FALSE,"Tickmarks"}</definedName>
    <definedName name="UNI_AA_VERSION" hidden="1">150.1</definedName>
    <definedName name="UNI_FILT_END" hidden="1">8</definedName>
    <definedName name="UNI_FILT_OFFSPEC" hidden="1">2</definedName>
    <definedName name="UNI_FILT_ONSPEC" hidden="1">1</definedName>
    <definedName name="UNI_FILT_START" hidden="1">4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ND" hidden="1">16384</definedName>
    <definedName name="UNI_RET_EQUIP" hidden="1">32768</definedName>
    <definedName name="UNI_RET_EVENT" hidden="1">4096</definedName>
    <definedName name="UNI_RET_OFFSPEC" hidden="1">512</definedName>
    <definedName name="UNI_RET_ONSPEC" hidden="1">256</definedName>
    <definedName name="UNI_RET_PROP" hidden="1">131072</definedName>
    <definedName name="UNI_RET_PROPDESC" hidden="1">262144</definedName>
    <definedName name="UNI_RET_SMPLPNT" hidden="1">65536</definedName>
    <definedName name="UNI_RET_SPECMAX" hidden="1">2048</definedName>
    <definedName name="UNI_RET_SPECMIN" hidden="1">1024</definedName>
    <definedName name="UNI_RET_START" hidden="1">8192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dad">[5]definiciones!$H$2:$H$5</definedName>
    <definedName name="unidia">[5]definiciones!$I$2:$I$5</definedName>
    <definedName name="uuuu" hidden="1">{#N/A,#N/A,FALSE,"Aging Summary";#N/A,#N/A,FALSE,"Ratio Analysis";#N/A,#N/A,FALSE,"Test 120 Day Accts";#N/A,#N/A,FALSE,"Tickmarks"}</definedName>
    <definedName name="v" localSheetId="0">'[9]Registrar '!$A$2:$B$182</definedName>
    <definedName name="v" localSheetId="12">'[9]Registrar '!$A$2:$B$182</definedName>
    <definedName name="v" localSheetId="7">'[8]Registrar '!$A$2:$B$182</definedName>
    <definedName name="v" localSheetId="10">'[8]Registrar '!$A$2:$B$182</definedName>
    <definedName name="v" localSheetId="17">'[8]Registrar '!$A$2:$B$182</definedName>
    <definedName name="v">'[10]Registrar '!$A$2:$B$182</definedName>
    <definedName name="VBA_VERSION" hidden="1">"1.11.0"</definedName>
    <definedName name="ve" hidden="1">{#N/A,#N/A,FALSE,"Aging Summary";#N/A,#N/A,FALSE,"Ratio Analysis";#N/A,#N/A,FALSE,"Test 120 Day Accts";#N/A,#N/A,FALSE,"Tickmarks"}</definedName>
    <definedName name="VFGDGDS" localSheetId="14">#REF!</definedName>
    <definedName name="VFGDGDS" localSheetId="8">#REF!</definedName>
    <definedName name="VFGDGDS" localSheetId="6">#REF!</definedName>
    <definedName name="VFGDGDS" localSheetId="9">#REF!</definedName>
    <definedName name="VFGDGDS" localSheetId="16">#REF!</definedName>
    <definedName name="VFGDGDS" localSheetId="3">#REF!</definedName>
    <definedName name="VFGDGDS" localSheetId="0">#REF!</definedName>
    <definedName name="VFGDGDS" localSheetId="12">#REF!</definedName>
    <definedName name="VFGDGDS" localSheetId="20">#REF!</definedName>
    <definedName name="VFGDGDS" localSheetId="19">#REF!</definedName>
    <definedName name="VFGDGDS" localSheetId="21">#REF!</definedName>
    <definedName name="VFGDGDS" localSheetId="7">#REF!</definedName>
    <definedName name="VFGDGDS" localSheetId="10">#REF!</definedName>
    <definedName name="VFGDGDS" localSheetId="17">#REF!</definedName>
    <definedName name="VFGDGDS">#REF!</definedName>
    <definedName name="Vutil">[6]bien!$G$17</definedName>
    <definedName name="vvv" hidden="1">{#N/A,#N/A,FALSE,"Aging Summary";#N/A,#N/A,FALSE,"Ratio Analysis";#N/A,#N/A,FALSE,"Test 120 Day Accts";#N/A,#N/A,FALSE,"Tickmarks"}</definedName>
    <definedName name="vvvvvvv" hidden="1">{#N/A,#N/A,FALSE,"Aging Summary";#N/A,#N/A,FALSE,"Ratio Analysis";#N/A,#N/A,FALSE,"Test 120 Day Accts";#N/A,#N/A,FALSE,"Tickmarks"}</definedName>
    <definedName name="we" hidden="1">{#N/A,#N/A,FALSE,"Aging Summary";#N/A,#N/A,FALSE,"Ratio Analysis";#N/A,#N/A,FALSE,"Test 120 Day Accts";#N/A,#N/A,FALSE,"Tickmarks"}</definedName>
    <definedName name="wqds" hidden="1">{#N/A,#N/A,FALSE,"Aging Summary";#N/A,#N/A,FALSE,"Ratio Analysis";#N/A,#N/A,FALSE,"Test 120 Day Accts";#N/A,#N/A,FALSE,"Tickmarks"}</definedName>
    <definedName name="wrn.Activo._.Fijo._.y._.Depreciacion." hidden="1">{#N/A,#N/A,FALSE,"A-100"}</definedName>
    <definedName name="wrn.Aging._.and._.Trend._.Analysis." hidden="1">{#N/A,#N/A,FALSE,"Aging Summary";#N/A,#N/A,FALSE,"Ratio Analysis";#N/A,#N/A,FALSE,"Test 120 Day Accts";#N/A,#N/A,FALSE,"Tickmarks"}</definedName>
    <definedName name="wrn.analisis1.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wrn.Approval._.Rpt." hidden="1">{#N/A,#N/A,FALSE,"Cover (Japan)";#N/A,#N/A,FALSE,"Index";#N/A,#N/A,FALSE,"Comment sum"}</definedName>
    <definedName name="wrn.CO." hidden="1">{#N/A,#N/A,FALSE,"datos_tecnicos";#N/A,#N/A,FALSE,"actividad";#N/A,#N/A,FALSE,"egastos"}</definedName>
    <definedName name="wrn.Complete._.Report.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Research &amp; Development";#N/A,#N/A,FALSE,"E.9 New Business Development";#N/A,#N/A,FALSE,"E.10 Tax Information";#N/A,#N/A,FALSE,"A.2 President's Measures"}</definedName>
    <definedName name="wrn.Contractual._.Minera._.Escondida." hidden="1">{#N/A,#N/A,FALSE,"cmcrli";#N/A,#N/A,FALSE,"Futcmc";#N/A,#N/A,FALSE,"PPM-CMC"}</definedName>
    <definedName name="wrn.Current._.Year._.Plan._.Only.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wrn.Exception._.Report." hidden="1">{#N/A,#N/A,FALSE,"Exception Report"}</definedName>
    <definedName name="wrn.Five._.Year._.Plan." hidden="1">{#N/A,#N/A,FALSE,"Part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Flows"}</definedName>
    <definedName name="wrn.Full._.Business._.Plan._.Package.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iIMPRESSION._.DOC.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wrn.IMPRESSION._.RP2." hidden="1">{#N/A,#N/A,TRUE," L.MAROC";#N/A,#N/A,TRUE,"SIE";#N/A,#N/A,TRUE,"ELIM L.GROUPE";#N/A,#N/A,TRUE,"ACTIVITE CIMENTIERE";#N/A,#N/A,TRUE,"ELIM ACTIVITE CIMENTIERE";#N/A,#N/A,TRUE,"SYNTHES L. CIMENT";#N/A,#N/A,TRUE,"BOUSKOURA";#N/A,#N/A,TRUE,"MEKNES";#N/A,#N/A,TRUE,"ELIM L.CIMENT";#N/A,#N/A,TRUE,"SYNTHESE L.CEMENTOS";#N/A,#N/A,TRUE,"TANGER";#N/A,#N/A,TRUE,"TETOUAN";#N/A,#N/A,TRUE,"ELIM L.CEMENTOS"}</definedName>
    <definedName name="wrn.Informe._.RLI.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Main_Stats." hidden="1">{"JVSumm_Report",#N/A,FALSE,"JV Summ";"Newman_Report",#N/A,FALSE,"Output - 7";"Yandi_Report",#N/A,FALSE,"Output - 8"}</definedName>
    <definedName name="wrn.Minera._.Escondida._.Ltda." hidden="1">{#N/A,#N/A,TRUE,"minescrli";#N/A,#N/A,TRUE,"Futminesc";#N/A,#N/A,TRUE,"gastos rechazados";#N/A,#N/A,TRUE,"Sum Gtos Rehazados";#N/A,#N/A,TRUE,"PPM-Minesc";#N/A,#N/A,TRUE,"minescret socios";#N/A,#N/A,TRUE,"Dividendos Acciones";#N/A,#N/A,TRUE,"Contribuciones Bienes Raices";#N/A,#N/A,TRUE,"Donaciones";#N/A,#N/A,TRUE,"cap propiominesc"}</definedName>
    <definedName name="wrn.Mining._.Perfromance._.Report.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wrn.Plan._.Support._.Only." hidden="1">{#N/A,#N/A,FALSE,"Part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Preliminary._.Plan." hidden="1">{#N/A,#N/A,FALSE,"Part E";#N/A,#N/A,FALSE,"E.1 Prelim Earnings Plan"}</definedName>
    <definedName name="wrn.President._.Report." hidden="1">{#N/A,#N/A,FALSE,"President's Cover";#N/A,#N/A,FALSE,"A.1 1998 Objectives";#N/A,#N/A,FALSE,"A.2 President's Measures";#N/A,#N/A,FALSE,"A.3 Commentary"}</definedName>
    <definedName name="wrn.Print_full." hidden="1">{#N/A,#N/A,TRUE,"Isa Cu";#N/A,#N/A,TRUE,"Isa Pb-Zn";#N/A,#N/A,TRUE,"Isa Major";#N/A,#N/A,TRUE,"Isa Other";#N/A,#N/A,TRUE,"EHM";#N/A,#N/A,TRUE,"MRM";#N/A,#N/A,TRUE,"OCB";#N/A,#N/A,TRUE,"NCP";#N/A,#N/A,TRUE,"CCP";#N/A,#N/A,TRUE,"CRL";#N/A,#N/A,TRUE,"MSS";#N/A,#N/A,TRUE,"Gold";#N/A,#N/A,TRUE,"Exploration";#N/A,#N/A,TRUE,"S.America";#N/A,#N/A,TRUE,"BRM";#N/A,#N/A,TRUE,"BZL";#N/A,#N/A,TRUE,"MHD";#N/A,#N/A,TRUE,"HQ"}</definedName>
    <definedName name="wrn.Quarter._.1._.Forecast." hidden="1">{#N/A,#N/A,FALSE,"Forecast Cover";#N/A,#N/A,FALSE,"D.1 Bal. Sheet";#N/A,#N/A,FALSE,"D.2 Income Statement";#N/A,#N/A,FALSE,"D.3 Quarterly Forecast";#N/A,#N/A,FALSE,"E.3 Monthly Forecast Q1";#N/A,#N/A,FALSE,"E.4 Monthly Plan";#N/A,#N/A,FALSE,"E.6 1997 Monthly";#N/A,#N/A,FALSE,"E.7 Capital";#N/A,#N/A,FALSE,"E.8 Research &amp; Development";#N/A,#N/A,FALSE,"E.9 New Business Development";#N/A,#N/A,FALSE,"E.10 Tax Information"}</definedName>
    <definedName name="wrn.Quarter._.2._.Forecast." hidden="1">{#N/A,#N/A,FALSE,"Forecast Cover";#N/A,#N/A,FALSE,"D.1 Bal. Sheet";#N/A,#N/A,FALSE,"D.2 Income Statement";#N/A,#N/A,FALSE,"D.3 Quarterly Forecast";#N/A,#N/A,FALSE,"E.2 Monthly Forecast Q2";#N/A,#N/A,FALSE,"E.7 Capital";#N/A,#N/A,FALSE,"E.8 Research &amp; Development";#N/A,#N/A,FALSE,"E.9 New Business Development";#N/A,#N/A,FALSE,"E.10 Tax Information"}</definedName>
    <definedName name="wrn.Quarter._.3._.Forecast." hidden="1">{#N/A,#N/A,FALSE,"Forecast Cover";#N/A,#N/A,FALSE,"D.1 Bal. Sheet";#N/A,#N/A,FALSE,"D.2 Income Statement";#N/A,#N/A,FALSE,"D.3 Quarterly Forecast";#N/A,#N/A,FALSE,"E.1 Monthly Forecast Q3";#N/A,#N/A,FALSE,"E.7 Capital";#N/A,#N/A,FALSE,"E.8 Research &amp; Development";#N/A,#N/A,FALSE,"E.9 New Business Development";#N/A,#N/A,FALSE,"E.10 Tax Information"}</definedName>
    <definedName name="wrn.Quarterly._.Consolidation._.Report." hidden="1">{#N/A,#N/A,FALSE,"Front Cover";#N/A,#N/A,FALSE,"B.1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Proof"}</definedName>
    <definedName name="wrn.Renta._.Total." hidden="1">{#N/A,#N/A,FALSE,"BASE";#N/A,#N/A,FALSE,"A";#N/A,#N/A,FALSE,"B";#N/A,#N/A,FALSE,"C";#N/A,#N/A,FALSE,"D";#N/A,#N/A,FALSE,"E";#N/A,#N/A,FALSE,"F";#N/A,#N/A,FALSE,"G";#N/A,#N/A,FALSE,"H";#N/A,#N/A,FALSE,"J";#N/A,#N/A,FALSE,"K";#N/A,#N/A,FALSE,"L";#N/A,#N/A,FALSE,"DIF_BT42"}</definedName>
    <definedName name="wrn.Rolling._.forecast._.per._.department." hidden="1">{#N/A,#N/A,TRUE,"TOTAL COMPANY 1995";#N/A,#N/A,TRUE,"UTR-DC";#N/A,#N/A,TRUE,"UTR-WP";#N/A,#N/A,TRUE,"UTR-WR";#N/A,#N/A,TRUE,"UTR-LT";#N/A,#N/A,TRUE,"UTR-DI";#N/A,#N/A,TRUE,"STAV-WR";#N/A,#N/A,TRUE,"YSSV-WR";#N/A,#N/A,TRUE,"GP.EXP.NP"}</definedName>
    <definedName name="wrn.RTZ." hidden="1">{#N/A,#N/A,FALSE,"RLI 1996-97";#N/A,#N/A,FALSE,"CYRLI";#N/A,#N/A,FALSE,"Owners Tax Return"}</definedName>
    <definedName name="wrn.Supplemental._.Pkg.." hidden="1">{#N/A,#N/A,FALSE,"Cover";#N/A,#N/A,FALSE,"Index";#N/A,#N/A,FALSE,"Supp. A";#N/A,#N/A,FALSE,"Supp. B";#N/A,#N/A,FALSE,"Supp. C";#N/A,#N/A,FALSE,"Supp. D";#N/A,#N/A,FALSE,"Supp. E";#N/A,#N/A,FALSE,"Supp. F";#N/A,#N/A,FALSE,"Supp. G";#N/A,#N/A,FALSE,"Supp. H";#N/A,#N/A,FALSE,"Supp. I";#N/A,#N/A,FALSE,"Supp. J";#N/A,#N/A,FALSE,"Supp. K";#N/A,#N/A,FALSE,"Supp. L"}</definedName>
    <definedName name="wrn.Year._.End._.Reporting._.Pkg..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wsw" hidden="1">{#N/A,#N/A,FALSE,"Aging Summary";#N/A,#N/A,FALSE,"Ratio Analysis";#N/A,#N/A,FALSE,"Test 120 Day Accts";#N/A,#N/A,FALSE,"Tickmarks"}</definedName>
    <definedName name="wswwsw" hidden="1">{#N/A,#N/A,FALSE,"Aging Summary";#N/A,#N/A,FALSE,"Ratio Analysis";#N/A,#N/A,FALSE,"Test 120 Day Accts";#N/A,#N/A,FALSE,"Tickmarks"}</definedName>
    <definedName name="www" hidden="1">{#N/A,#N/A,FALSE,"Aging Summary";#N/A,#N/A,FALSE,"Ratio Analysis";#N/A,#N/A,FALSE,"Test 120 Day Accts";#N/A,#N/A,FALSE,"Tickmarks"}</definedName>
    <definedName name="x" hidden="1">{#N/A,#N/A,FALSE,"Aging Summary";#N/A,#N/A,FALSE,"Ratio Analysis";#N/A,#N/A,FALSE,"Test 120 Day Accts";#N/A,#N/A,FALSE,"Tickmarks"}</definedName>
    <definedName name="xdedfe" hidden="1">{#N/A,#N/A,FALSE,"Aging Summary";#N/A,#N/A,FALSE,"Ratio Analysis";#N/A,#N/A,FALSE,"Test 120 Day Accts";#N/A,#N/A,FALSE,"Tickmarks"}</definedName>
    <definedName name="XREF_COLUMN_1" localSheetId="14" hidden="1">#REF!</definedName>
    <definedName name="XREF_COLUMN_1" localSheetId="8" hidden="1">#REF!</definedName>
    <definedName name="XREF_COLUMN_1" localSheetId="6" hidden="1">#REF!</definedName>
    <definedName name="XREF_COLUMN_1" localSheetId="9" hidden="1">#REF!</definedName>
    <definedName name="XREF_COLUMN_1" localSheetId="16" hidden="1">#REF!</definedName>
    <definedName name="XREF_COLUMN_1" localSheetId="3" hidden="1">#REF!</definedName>
    <definedName name="XREF_COLUMN_1" localSheetId="12" hidden="1">#REF!</definedName>
    <definedName name="XREF_COLUMN_1" localSheetId="21" hidden="1">#REF!</definedName>
    <definedName name="XREF_COLUMN_1" localSheetId="10" hidden="1">#REF!</definedName>
    <definedName name="XREF_COLUMN_1" localSheetId="17" hidden="1">#REF!</definedName>
    <definedName name="XREF_COLUMN_1" hidden="1">#REF!</definedName>
    <definedName name="XREF_COLUMN_10" localSheetId="14" hidden="1">[11]Movimiento!#REF!</definedName>
    <definedName name="XREF_COLUMN_10" localSheetId="8" hidden="1">[11]Movimiento!#REF!</definedName>
    <definedName name="XREF_COLUMN_10" localSheetId="6" hidden="1">[11]Movimiento!#REF!</definedName>
    <definedName name="XREF_COLUMN_10" localSheetId="9" hidden="1">[11]Movimiento!#REF!</definedName>
    <definedName name="XREF_COLUMN_10" localSheetId="16" hidden="1">[11]Movimiento!#REF!</definedName>
    <definedName name="XREF_COLUMN_10" localSheetId="3" hidden="1">[11]Movimiento!#REF!</definedName>
    <definedName name="XREF_COLUMN_10" localSheetId="12" hidden="1">[11]Movimiento!#REF!</definedName>
    <definedName name="XREF_COLUMN_10" localSheetId="21" hidden="1">[11]Movimiento!#REF!</definedName>
    <definedName name="XREF_COLUMN_10" localSheetId="10" hidden="1">[11]Movimiento!#REF!</definedName>
    <definedName name="XREF_COLUMN_10" localSheetId="17" hidden="1">[11]Movimiento!#REF!</definedName>
    <definedName name="XREF_COLUMN_10" hidden="1">[11]Movimiento!#REF!</definedName>
    <definedName name="XREF_COLUMN_11" localSheetId="14" hidden="1">#REF!</definedName>
    <definedName name="XREF_COLUMN_11" localSheetId="8" hidden="1">#REF!</definedName>
    <definedName name="XREF_COLUMN_11" localSheetId="6" hidden="1">#REF!</definedName>
    <definedName name="XREF_COLUMN_11" localSheetId="9" hidden="1">#REF!</definedName>
    <definedName name="XREF_COLUMN_11" localSheetId="16" hidden="1">#REF!</definedName>
    <definedName name="XREF_COLUMN_11" localSheetId="3" hidden="1">#REF!</definedName>
    <definedName name="XREF_COLUMN_11" localSheetId="12" hidden="1">#REF!</definedName>
    <definedName name="XREF_COLUMN_11" localSheetId="21" hidden="1">#REF!</definedName>
    <definedName name="XREF_COLUMN_11" localSheetId="10" hidden="1">#REF!</definedName>
    <definedName name="XREF_COLUMN_11" localSheetId="17" hidden="1">#REF!</definedName>
    <definedName name="XREF_COLUMN_11" hidden="1">#REF!</definedName>
    <definedName name="XREF_COLUMN_12" localSheetId="14" hidden="1">#REF!</definedName>
    <definedName name="XREF_COLUMN_12" localSheetId="8" hidden="1">#REF!</definedName>
    <definedName name="XREF_COLUMN_12" localSheetId="6" hidden="1">#REF!</definedName>
    <definedName name="XREF_COLUMN_12" localSheetId="9" hidden="1">#REF!</definedName>
    <definedName name="XREF_COLUMN_12" localSheetId="16" hidden="1">#REF!</definedName>
    <definedName name="XREF_COLUMN_12" localSheetId="3" hidden="1">#REF!</definedName>
    <definedName name="XREF_COLUMN_12" localSheetId="12" hidden="1">#REF!</definedName>
    <definedName name="XREF_COLUMN_12" localSheetId="21" hidden="1">#REF!</definedName>
    <definedName name="XREF_COLUMN_12" localSheetId="10" hidden="1">#REF!</definedName>
    <definedName name="XREF_COLUMN_12" localSheetId="17" hidden="1">#REF!</definedName>
    <definedName name="XREF_COLUMN_12" hidden="1">#REF!</definedName>
    <definedName name="XREF_COLUMN_13" localSheetId="14" hidden="1">[11]Movimiento!#REF!</definedName>
    <definedName name="XREF_COLUMN_13" localSheetId="8" hidden="1">[11]Movimiento!#REF!</definedName>
    <definedName name="XREF_COLUMN_13" localSheetId="6" hidden="1">[11]Movimiento!#REF!</definedName>
    <definedName name="XREF_COLUMN_13" localSheetId="9" hidden="1">[11]Movimiento!#REF!</definedName>
    <definedName name="XREF_COLUMN_13" localSheetId="16" hidden="1">[11]Movimiento!#REF!</definedName>
    <definedName name="XREF_COLUMN_13" localSheetId="3" hidden="1">[11]Movimiento!#REF!</definedName>
    <definedName name="XREF_COLUMN_13" localSheetId="12" hidden="1">[11]Movimiento!#REF!</definedName>
    <definedName name="XREF_COLUMN_13" localSheetId="21" hidden="1">[11]Movimiento!#REF!</definedName>
    <definedName name="XREF_COLUMN_13" localSheetId="10" hidden="1">[11]Movimiento!#REF!</definedName>
    <definedName name="XREF_COLUMN_13" localSheetId="17" hidden="1">[11]Movimiento!#REF!</definedName>
    <definedName name="XREF_COLUMN_13" hidden="1">[11]Movimiento!#REF!</definedName>
    <definedName name="XREF_COLUMN_14" localSheetId="14" hidden="1">[11]Movimiento!#REF!</definedName>
    <definedName name="XREF_COLUMN_14" localSheetId="8" hidden="1">[11]Movimiento!#REF!</definedName>
    <definedName name="XREF_COLUMN_14" localSheetId="6" hidden="1">[11]Movimiento!#REF!</definedName>
    <definedName name="XREF_COLUMN_14" localSheetId="9" hidden="1">[11]Movimiento!#REF!</definedName>
    <definedName name="XREF_COLUMN_14" localSheetId="16" hidden="1">[11]Movimiento!#REF!</definedName>
    <definedName name="XREF_COLUMN_14" localSheetId="3" hidden="1">[11]Movimiento!#REF!</definedName>
    <definedName name="XREF_COLUMN_14" localSheetId="12" hidden="1">[11]Movimiento!#REF!</definedName>
    <definedName name="XREF_COLUMN_14" localSheetId="21" hidden="1">[11]Movimiento!#REF!</definedName>
    <definedName name="XREF_COLUMN_14" localSheetId="10" hidden="1">[11]Movimiento!#REF!</definedName>
    <definedName name="XREF_COLUMN_14" localSheetId="17" hidden="1">[11]Movimiento!#REF!</definedName>
    <definedName name="XREF_COLUMN_14" hidden="1">[11]Movimiento!#REF!</definedName>
    <definedName name="XREF_COLUMN_15" localSheetId="14" hidden="1">'[11]Dep ejercicio'!#REF!</definedName>
    <definedName name="XREF_COLUMN_15" localSheetId="8" hidden="1">'[11]Dep ejercicio'!#REF!</definedName>
    <definedName name="XREF_COLUMN_15" localSheetId="6" hidden="1">'[11]Dep ejercicio'!#REF!</definedName>
    <definedName name="XREF_COLUMN_15" localSheetId="9" hidden="1">'[11]Dep ejercicio'!#REF!</definedName>
    <definedName name="XREF_COLUMN_15" localSheetId="16" hidden="1">'[11]Dep ejercicio'!#REF!</definedName>
    <definedName name="XREF_COLUMN_15" localSheetId="3" hidden="1">'[11]Dep ejercicio'!#REF!</definedName>
    <definedName name="XREF_COLUMN_15" localSheetId="12" hidden="1">'[11]Dep ejercicio'!#REF!</definedName>
    <definedName name="XREF_COLUMN_15" localSheetId="21" hidden="1">'[11]Dep ejercicio'!#REF!</definedName>
    <definedName name="XREF_COLUMN_15" localSheetId="10" hidden="1">'[11]Dep ejercicio'!#REF!</definedName>
    <definedName name="XREF_COLUMN_15" localSheetId="17" hidden="1">'[11]Dep ejercicio'!#REF!</definedName>
    <definedName name="XREF_COLUMN_15" hidden="1">'[11]Dep ejercicio'!#REF!</definedName>
    <definedName name="XREF_COLUMN_16" localSheetId="14" hidden="1">#REF!</definedName>
    <definedName name="XREF_COLUMN_16" localSheetId="8" hidden="1">#REF!</definedName>
    <definedName name="XREF_COLUMN_16" localSheetId="6" hidden="1">#REF!</definedName>
    <definedName name="XREF_COLUMN_16" localSheetId="9" hidden="1">#REF!</definedName>
    <definedName name="XREF_COLUMN_16" localSheetId="16" hidden="1">#REF!</definedName>
    <definedName name="XREF_COLUMN_16" localSheetId="3" hidden="1">#REF!</definedName>
    <definedName name="XREF_COLUMN_16" localSheetId="12" hidden="1">#REF!</definedName>
    <definedName name="XREF_COLUMN_16" localSheetId="21" hidden="1">#REF!</definedName>
    <definedName name="XREF_COLUMN_16" localSheetId="10" hidden="1">#REF!</definedName>
    <definedName name="XREF_COLUMN_16" localSheetId="17" hidden="1">#REF!</definedName>
    <definedName name="XREF_COLUMN_16" hidden="1">#REF!</definedName>
    <definedName name="XREF_COLUMN_17" localSheetId="14" hidden="1">#REF!</definedName>
    <definedName name="XREF_COLUMN_17" localSheetId="8" hidden="1">#REF!</definedName>
    <definedName name="XREF_COLUMN_17" localSheetId="6" hidden="1">#REF!</definedName>
    <definedName name="XREF_COLUMN_17" localSheetId="9" hidden="1">#REF!</definedName>
    <definedName name="XREF_COLUMN_17" localSheetId="16" hidden="1">#REF!</definedName>
    <definedName name="XREF_COLUMN_17" localSheetId="3" hidden="1">#REF!</definedName>
    <definedName name="XREF_COLUMN_17" localSheetId="12" hidden="1">#REF!</definedName>
    <definedName name="XREF_COLUMN_17" localSheetId="21" hidden="1">#REF!</definedName>
    <definedName name="XREF_COLUMN_17" localSheetId="10" hidden="1">#REF!</definedName>
    <definedName name="XREF_COLUMN_17" localSheetId="17" hidden="1">#REF!</definedName>
    <definedName name="XREF_COLUMN_17" hidden="1">#REF!</definedName>
    <definedName name="XREF_COLUMN_18" localSheetId="14" hidden="1">'[11]Dep acumulada'!#REF!</definedName>
    <definedName name="XREF_COLUMN_18" localSheetId="8" hidden="1">'[11]Dep acumulada'!#REF!</definedName>
    <definedName name="XREF_COLUMN_18" localSheetId="6" hidden="1">'[11]Dep acumulada'!#REF!</definedName>
    <definedName name="XREF_COLUMN_18" localSheetId="9" hidden="1">'[11]Dep acumulada'!#REF!</definedName>
    <definedName name="XREF_COLUMN_18" localSheetId="16" hidden="1">'[11]Dep acumulada'!#REF!</definedName>
    <definedName name="XREF_COLUMN_18" localSheetId="3" hidden="1">'[11]Dep acumulada'!#REF!</definedName>
    <definedName name="XREF_COLUMN_18" localSheetId="12" hidden="1">'[11]Dep acumulada'!#REF!</definedName>
    <definedName name="XREF_COLUMN_18" localSheetId="21" hidden="1">'[11]Dep acumulada'!#REF!</definedName>
    <definedName name="XREF_COLUMN_18" localSheetId="10" hidden="1">'[11]Dep acumulada'!#REF!</definedName>
    <definedName name="XREF_COLUMN_18" localSheetId="17" hidden="1">'[11]Dep acumulada'!#REF!</definedName>
    <definedName name="XREF_COLUMN_18" hidden="1">'[11]Dep acumulada'!#REF!</definedName>
    <definedName name="XREF_COLUMN_19" localSheetId="14" hidden="1">#REF!</definedName>
    <definedName name="XREF_COLUMN_19" localSheetId="8" hidden="1">#REF!</definedName>
    <definedName name="XREF_COLUMN_19" localSheetId="6" hidden="1">#REF!</definedName>
    <definedName name="XREF_COLUMN_19" localSheetId="9" hidden="1">#REF!</definedName>
    <definedName name="XREF_COLUMN_19" localSheetId="16" hidden="1">#REF!</definedName>
    <definedName name="XREF_COLUMN_19" localSheetId="3" hidden="1">#REF!</definedName>
    <definedName name="XREF_COLUMN_19" localSheetId="12" hidden="1">#REF!</definedName>
    <definedName name="XREF_COLUMN_19" localSheetId="21" hidden="1">#REF!</definedName>
    <definedName name="XREF_COLUMN_19" localSheetId="10" hidden="1">#REF!</definedName>
    <definedName name="XREF_COLUMN_19" localSheetId="17" hidden="1">#REF!</definedName>
    <definedName name="XREF_COLUMN_19" hidden="1">#REF!</definedName>
    <definedName name="XREF_COLUMN_2" localSheetId="14" hidden="1">#REF!</definedName>
    <definedName name="XREF_COLUMN_2" localSheetId="8" hidden="1">#REF!</definedName>
    <definedName name="XREF_COLUMN_2" localSheetId="6" hidden="1">#REF!</definedName>
    <definedName name="XREF_COLUMN_2" localSheetId="9" hidden="1">#REF!</definedName>
    <definedName name="XREF_COLUMN_2" localSheetId="16" hidden="1">#REF!</definedName>
    <definedName name="XREF_COLUMN_2" localSheetId="3" hidden="1">#REF!</definedName>
    <definedName name="XREF_COLUMN_2" localSheetId="12" hidden="1">#REF!</definedName>
    <definedName name="XREF_COLUMN_2" localSheetId="21" hidden="1">#REF!</definedName>
    <definedName name="XREF_COLUMN_2" localSheetId="10" hidden="1">#REF!</definedName>
    <definedName name="XREF_COLUMN_2" localSheetId="17" hidden="1">#REF!</definedName>
    <definedName name="XREF_COLUMN_2" hidden="1">#REF!</definedName>
    <definedName name="XREF_COLUMN_20" localSheetId="14" hidden="1">[11]Movimiento!#REF!</definedName>
    <definedName name="XREF_COLUMN_20" localSheetId="8" hidden="1">[11]Movimiento!#REF!</definedName>
    <definedName name="XREF_COLUMN_20" localSheetId="6" hidden="1">[11]Movimiento!#REF!</definedName>
    <definedName name="XREF_COLUMN_20" localSheetId="9" hidden="1">[11]Movimiento!#REF!</definedName>
    <definedName name="XREF_COLUMN_20" localSheetId="16" hidden="1">[11]Movimiento!#REF!</definedName>
    <definedName name="XREF_COLUMN_20" localSheetId="3" hidden="1">[11]Movimiento!#REF!</definedName>
    <definedName name="XREF_COLUMN_20" localSheetId="12" hidden="1">[11]Movimiento!#REF!</definedName>
    <definedName name="XREF_COLUMN_20" localSheetId="21" hidden="1">[11]Movimiento!#REF!</definedName>
    <definedName name="XREF_COLUMN_20" localSheetId="10" hidden="1">[11]Movimiento!#REF!</definedName>
    <definedName name="XREF_COLUMN_20" localSheetId="17" hidden="1">[11]Movimiento!#REF!</definedName>
    <definedName name="XREF_COLUMN_20" hidden="1">[11]Movimiento!#REF!</definedName>
    <definedName name="XREF_COLUMN_24" localSheetId="14" hidden="1">#REF!</definedName>
    <definedName name="XREF_COLUMN_24" localSheetId="8" hidden="1">#REF!</definedName>
    <definedName name="XREF_COLUMN_24" localSheetId="6" hidden="1">#REF!</definedName>
    <definedName name="XREF_COLUMN_24" localSheetId="9" hidden="1">#REF!</definedName>
    <definedName name="XREF_COLUMN_24" localSheetId="16" hidden="1">#REF!</definedName>
    <definedName name="XREF_COLUMN_24" localSheetId="3" hidden="1">#REF!</definedName>
    <definedName name="XREF_COLUMN_24" localSheetId="12" hidden="1">#REF!</definedName>
    <definedName name="XREF_COLUMN_24" localSheetId="21" hidden="1">#REF!</definedName>
    <definedName name="XREF_COLUMN_24" localSheetId="10" hidden="1">#REF!</definedName>
    <definedName name="XREF_COLUMN_24" localSheetId="17" hidden="1">#REF!</definedName>
    <definedName name="XREF_COLUMN_24" hidden="1">#REF!</definedName>
    <definedName name="XREF_COLUMN_29" localSheetId="14" hidden="1">#REF!</definedName>
    <definedName name="XREF_COLUMN_29" localSheetId="8" hidden="1">#REF!</definedName>
    <definedName name="XREF_COLUMN_29" localSheetId="6" hidden="1">#REF!</definedName>
    <definedName name="XREF_COLUMN_29" localSheetId="9" hidden="1">#REF!</definedName>
    <definedName name="XREF_COLUMN_29" localSheetId="16" hidden="1">#REF!</definedName>
    <definedName name="XREF_COLUMN_29" localSheetId="3" hidden="1">#REF!</definedName>
    <definedName name="XREF_COLUMN_29" localSheetId="12" hidden="1">#REF!</definedName>
    <definedName name="XREF_COLUMN_29" localSheetId="21" hidden="1">#REF!</definedName>
    <definedName name="XREF_COLUMN_29" localSheetId="10" hidden="1">#REF!</definedName>
    <definedName name="XREF_COLUMN_29" localSheetId="17" hidden="1">#REF!</definedName>
    <definedName name="XREF_COLUMN_29" hidden="1">#REF!</definedName>
    <definedName name="XREF_COLUMN_3" localSheetId="14" hidden="1">#REF!</definedName>
    <definedName name="XREF_COLUMN_3" localSheetId="8" hidden="1">#REF!</definedName>
    <definedName name="XREF_COLUMN_3" localSheetId="6" hidden="1">#REF!</definedName>
    <definedName name="XREF_COLUMN_3" localSheetId="9" hidden="1">#REF!</definedName>
    <definedName name="XREF_COLUMN_3" localSheetId="16" hidden="1">#REF!</definedName>
    <definedName name="XREF_COLUMN_3" localSheetId="3" hidden="1">#REF!</definedName>
    <definedName name="XREF_COLUMN_3" localSheetId="12" hidden="1">#REF!</definedName>
    <definedName name="XREF_COLUMN_3" localSheetId="21" hidden="1">#REF!</definedName>
    <definedName name="XREF_COLUMN_3" localSheetId="10" hidden="1">#REF!</definedName>
    <definedName name="XREF_COLUMN_3" localSheetId="17" hidden="1">#REF!</definedName>
    <definedName name="XREF_COLUMN_3" hidden="1">#REF!</definedName>
    <definedName name="XREF_COLUMN_30" localSheetId="14" hidden="1">#REF!</definedName>
    <definedName name="XREF_COLUMN_30" localSheetId="8" hidden="1">#REF!</definedName>
    <definedName name="XREF_COLUMN_30" localSheetId="6" hidden="1">#REF!</definedName>
    <definedName name="XREF_COLUMN_30" localSheetId="9" hidden="1">#REF!</definedName>
    <definedName name="XREF_COLUMN_30" localSheetId="16" hidden="1">#REF!</definedName>
    <definedName name="XREF_COLUMN_30" localSheetId="3" hidden="1">#REF!</definedName>
    <definedName name="XREF_COLUMN_30" localSheetId="12" hidden="1">#REF!</definedName>
    <definedName name="XREF_COLUMN_30" localSheetId="21" hidden="1">#REF!</definedName>
    <definedName name="XREF_COLUMN_30" localSheetId="10" hidden="1">#REF!</definedName>
    <definedName name="XREF_COLUMN_30" localSheetId="17" hidden="1">#REF!</definedName>
    <definedName name="XREF_COLUMN_30" hidden="1">#REF!</definedName>
    <definedName name="XREF_COLUMN_4" localSheetId="14" hidden="1">#REF!</definedName>
    <definedName name="XREF_COLUMN_4" localSheetId="8" hidden="1">#REF!</definedName>
    <definedName name="XREF_COLUMN_4" localSheetId="6" hidden="1">#REF!</definedName>
    <definedName name="XREF_COLUMN_4" localSheetId="9" hidden="1">#REF!</definedName>
    <definedName name="XREF_COLUMN_4" localSheetId="16" hidden="1">#REF!</definedName>
    <definedName name="XREF_COLUMN_4" localSheetId="3" hidden="1">#REF!</definedName>
    <definedName name="XREF_COLUMN_4" localSheetId="12" hidden="1">#REF!</definedName>
    <definedName name="XREF_COLUMN_4" localSheetId="21" hidden="1">#REF!</definedName>
    <definedName name="XREF_COLUMN_4" localSheetId="10" hidden="1">#REF!</definedName>
    <definedName name="XREF_COLUMN_4" localSheetId="17" hidden="1">#REF!</definedName>
    <definedName name="XREF_COLUMN_4" hidden="1">#REF!</definedName>
    <definedName name="XREF_COLUMN_5" localSheetId="14" hidden="1">#REF!</definedName>
    <definedName name="XREF_COLUMN_5" localSheetId="8" hidden="1">#REF!</definedName>
    <definedName name="XREF_COLUMN_5" localSheetId="6" hidden="1">#REF!</definedName>
    <definedName name="XREF_COLUMN_5" localSheetId="9" hidden="1">#REF!</definedName>
    <definedName name="XREF_COLUMN_5" localSheetId="16" hidden="1">#REF!</definedName>
    <definedName name="XREF_COLUMN_5" localSheetId="3" hidden="1">#REF!</definedName>
    <definedName name="XREF_COLUMN_5" localSheetId="12" hidden="1">#REF!</definedName>
    <definedName name="XREF_COLUMN_5" localSheetId="21" hidden="1">#REF!</definedName>
    <definedName name="XREF_COLUMN_5" localSheetId="10" hidden="1">#REF!</definedName>
    <definedName name="XREF_COLUMN_5" localSheetId="17" hidden="1">#REF!</definedName>
    <definedName name="XREF_COLUMN_5" hidden="1">#REF!</definedName>
    <definedName name="XREF_COLUMN_6" localSheetId="14" hidden="1">#REF!</definedName>
    <definedName name="XREF_COLUMN_6" localSheetId="8" hidden="1">#REF!</definedName>
    <definedName name="XREF_COLUMN_6" localSheetId="6" hidden="1">#REF!</definedName>
    <definedName name="XREF_COLUMN_6" localSheetId="9" hidden="1">#REF!</definedName>
    <definedName name="XREF_COLUMN_6" localSheetId="16" hidden="1">#REF!</definedName>
    <definedName name="XREF_COLUMN_6" localSheetId="3" hidden="1">#REF!</definedName>
    <definedName name="XREF_COLUMN_6" localSheetId="12" hidden="1">#REF!</definedName>
    <definedName name="XREF_COLUMN_6" localSheetId="21" hidden="1">#REF!</definedName>
    <definedName name="XREF_COLUMN_6" localSheetId="10" hidden="1">#REF!</definedName>
    <definedName name="XREF_COLUMN_6" localSheetId="17" hidden="1">#REF!</definedName>
    <definedName name="XREF_COLUMN_6" hidden="1">#REF!</definedName>
    <definedName name="XREF_COLUMN_7" localSheetId="14" hidden="1">#REF!</definedName>
    <definedName name="XREF_COLUMN_7" localSheetId="8" hidden="1">#REF!</definedName>
    <definedName name="XREF_COLUMN_7" localSheetId="6" hidden="1">#REF!</definedName>
    <definedName name="XREF_COLUMN_7" localSheetId="9" hidden="1">#REF!</definedName>
    <definedName name="XREF_COLUMN_7" localSheetId="16" hidden="1">#REF!</definedName>
    <definedName name="XREF_COLUMN_7" localSheetId="3" hidden="1">#REF!</definedName>
    <definedName name="XREF_COLUMN_7" localSheetId="12" hidden="1">#REF!</definedName>
    <definedName name="XREF_COLUMN_7" localSheetId="21" hidden="1">#REF!</definedName>
    <definedName name="XREF_COLUMN_7" localSheetId="10" hidden="1">#REF!</definedName>
    <definedName name="XREF_COLUMN_7" localSheetId="17" hidden="1">#REF!</definedName>
    <definedName name="XREF_COLUMN_7" hidden="1">#REF!</definedName>
    <definedName name="XREF_COLUMN_8" localSheetId="14" hidden="1">#REF!</definedName>
    <definedName name="XREF_COLUMN_8" localSheetId="8" hidden="1">#REF!</definedName>
    <definedName name="XREF_COLUMN_8" localSheetId="6" hidden="1">#REF!</definedName>
    <definedName name="XREF_COLUMN_8" localSheetId="9" hidden="1">#REF!</definedName>
    <definedName name="XREF_COLUMN_8" localSheetId="16" hidden="1">#REF!</definedName>
    <definedName name="XREF_COLUMN_8" localSheetId="3" hidden="1">#REF!</definedName>
    <definedName name="XREF_COLUMN_8" localSheetId="12" hidden="1">#REF!</definedName>
    <definedName name="XREF_COLUMN_8" localSheetId="21" hidden="1">#REF!</definedName>
    <definedName name="XREF_COLUMN_8" localSheetId="10" hidden="1">#REF!</definedName>
    <definedName name="XREF_COLUMN_8" localSheetId="17" hidden="1">#REF!</definedName>
    <definedName name="XREF_COLUMN_8" hidden="1">#REF!</definedName>
    <definedName name="XREF_COLUMN_9" localSheetId="14" hidden="1">#REF!</definedName>
    <definedName name="XREF_COLUMN_9" localSheetId="8" hidden="1">#REF!</definedName>
    <definedName name="XREF_COLUMN_9" localSheetId="6" hidden="1">#REF!</definedName>
    <definedName name="XREF_COLUMN_9" localSheetId="9" hidden="1">#REF!</definedName>
    <definedName name="XREF_COLUMN_9" localSheetId="16" hidden="1">#REF!</definedName>
    <definedName name="XREF_COLUMN_9" localSheetId="3" hidden="1">#REF!</definedName>
    <definedName name="XREF_COLUMN_9" localSheetId="12" hidden="1">#REF!</definedName>
    <definedName name="XREF_COLUMN_9" localSheetId="21" hidden="1">#REF!</definedName>
    <definedName name="XREF_COLUMN_9" localSheetId="10" hidden="1">#REF!</definedName>
    <definedName name="XREF_COLUMN_9" localSheetId="17" hidden="1">#REF!</definedName>
    <definedName name="XREF_COLUMN_9" hidden="1">#REF!</definedName>
    <definedName name="XRefActiveRow" localSheetId="14" hidden="1">#REF!</definedName>
    <definedName name="XRefActiveRow" localSheetId="8" hidden="1">#REF!</definedName>
    <definedName name="XRefActiveRow" localSheetId="6" hidden="1">#REF!</definedName>
    <definedName name="XRefActiveRow" localSheetId="9" hidden="1">#REF!</definedName>
    <definedName name="XRefActiveRow" localSheetId="16" hidden="1">#REF!</definedName>
    <definedName name="XRefActiveRow" localSheetId="3" hidden="1">#REF!</definedName>
    <definedName name="XRefActiveRow" localSheetId="12" hidden="1">#REF!</definedName>
    <definedName name="XRefActiveRow" localSheetId="21" hidden="1">#REF!</definedName>
    <definedName name="XRefActiveRow" localSheetId="10" hidden="1">#REF!</definedName>
    <definedName name="XRefActiveRow" localSheetId="17" hidden="1">#REF!</definedName>
    <definedName name="XRefActiveRow" hidden="1">#REF!</definedName>
    <definedName name="XRefColumnsCount" hidden="1">7</definedName>
    <definedName name="XRefCopy1" localSheetId="14" hidden="1">#REF!</definedName>
    <definedName name="XRefCopy1" localSheetId="8" hidden="1">#REF!</definedName>
    <definedName name="XRefCopy1" localSheetId="6" hidden="1">#REF!</definedName>
    <definedName name="XRefCopy1" localSheetId="9" hidden="1">#REF!</definedName>
    <definedName name="XRefCopy1" localSheetId="16" hidden="1">#REF!</definedName>
    <definedName name="XRefCopy1" localSheetId="3" hidden="1">#REF!</definedName>
    <definedName name="XRefCopy1" localSheetId="12" hidden="1">#REF!</definedName>
    <definedName name="XRefCopy1" localSheetId="21" hidden="1">#REF!</definedName>
    <definedName name="XRefCopy1" localSheetId="10" hidden="1">#REF!</definedName>
    <definedName name="XRefCopy1" localSheetId="17" hidden="1">#REF!</definedName>
    <definedName name="XRefCopy1" hidden="1">#REF!</definedName>
    <definedName name="XRefCopy10" localSheetId="14" hidden="1">#REF!</definedName>
    <definedName name="XRefCopy10" localSheetId="8" hidden="1">#REF!</definedName>
    <definedName name="XRefCopy10" localSheetId="6" hidden="1">#REF!</definedName>
    <definedName name="XRefCopy10" localSheetId="9" hidden="1">#REF!</definedName>
    <definedName name="XRefCopy10" localSheetId="16" hidden="1">#REF!</definedName>
    <definedName name="XRefCopy10" localSheetId="3" hidden="1">#REF!</definedName>
    <definedName name="XRefCopy10" localSheetId="12" hidden="1">#REF!</definedName>
    <definedName name="XRefCopy10" localSheetId="21" hidden="1">#REF!</definedName>
    <definedName name="XRefCopy10" localSheetId="10" hidden="1">#REF!</definedName>
    <definedName name="XRefCopy10" localSheetId="17" hidden="1">#REF!</definedName>
    <definedName name="XRefCopy10" hidden="1">#REF!</definedName>
    <definedName name="XRefCopy10Row" localSheetId="14" hidden="1">#REF!</definedName>
    <definedName name="XRefCopy10Row" localSheetId="8" hidden="1">#REF!</definedName>
    <definedName name="XRefCopy10Row" localSheetId="6" hidden="1">#REF!</definedName>
    <definedName name="XRefCopy10Row" localSheetId="9" hidden="1">#REF!</definedName>
    <definedName name="XRefCopy10Row" localSheetId="16" hidden="1">#REF!</definedName>
    <definedName name="XRefCopy10Row" localSheetId="3" hidden="1">#REF!</definedName>
    <definedName name="XRefCopy10Row" localSheetId="12" hidden="1">#REF!</definedName>
    <definedName name="XRefCopy10Row" localSheetId="21" hidden="1">#REF!</definedName>
    <definedName name="XRefCopy10Row" localSheetId="10" hidden="1">#REF!</definedName>
    <definedName name="XRefCopy10Row" localSheetId="17" hidden="1">#REF!</definedName>
    <definedName name="XRefCopy10Row" hidden="1">#REF!</definedName>
    <definedName name="XRefCopy11" localSheetId="14" hidden="1">#REF!</definedName>
    <definedName name="XRefCopy11" localSheetId="8" hidden="1">#REF!</definedName>
    <definedName name="XRefCopy11" localSheetId="6" hidden="1">#REF!</definedName>
    <definedName name="XRefCopy11" localSheetId="9" hidden="1">#REF!</definedName>
    <definedName name="XRefCopy11" localSheetId="16" hidden="1">#REF!</definedName>
    <definedName name="XRefCopy11" localSheetId="3" hidden="1">#REF!</definedName>
    <definedName name="XRefCopy11" localSheetId="12" hidden="1">#REF!</definedName>
    <definedName name="XRefCopy11" localSheetId="21" hidden="1">#REF!</definedName>
    <definedName name="XRefCopy11" localSheetId="10" hidden="1">#REF!</definedName>
    <definedName name="XRefCopy11" localSheetId="17" hidden="1">#REF!</definedName>
    <definedName name="XRefCopy11" hidden="1">#REF!</definedName>
    <definedName name="XRefCopy11Row" localSheetId="14" hidden="1">#REF!</definedName>
    <definedName name="XRefCopy11Row" localSheetId="8" hidden="1">#REF!</definedName>
    <definedName name="XRefCopy11Row" localSheetId="6" hidden="1">#REF!</definedName>
    <definedName name="XRefCopy11Row" localSheetId="9" hidden="1">#REF!</definedName>
    <definedName name="XRefCopy11Row" localSheetId="16" hidden="1">#REF!</definedName>
    <definedName name="XRefCopy11Row" localSheetId="3" hidden="1">#REF!</definedName>
    <definedName name="XRefCopy11Row" localSheetId="12" hidden="1">#REF!</definedName>
    <definedName name="XRefCopy11Row" localSheetId="21" hidden="1">#REF!</definedName>
    <definedName name="XRefCopy11Row" localSheetId="10" hidden="1">#REF!</definedName>
    <definedName name="XRefCopy11Row" localSheetId="17" hidden="1">#REF!</definedName>
    <definedName name="XRefCopy11Row" hidden="1">#REF!</definedName>
    <definedName name="XRefCopy12" localSheetId="14" hidden="1">#REF!</definedName>
    <definedName name="XRefCopy12" localSheetId="8" hidden="1">#REF!</definedName>
    <definedName name="XRefCopy12" localSheetId="6" hidden="1">#REF!</definedName>
    <definedName name="XRefCopy12" localSheetId="9" hidden="1">#REF!</definedName>
    <definedName name="XRefCopy12" localSheetId="16" hidden="1">#REF!</definedName>
    <definedName name="XRefCopy12" localSheetId="3" hidden="1">#REF!</definedName>
    <definedName name="XRefCopy12" localSheetId="12" hidden="1">#REF!</definedName>
    <definedName name="XRefCopy12" localSheetId="21" hidden="1">#REF!</definedName>
    <definedName name="XRefCopy12" localSheetId="10" hidden="1">#REF!</definedName>
    <definedName name="XRefCopy12" localSheetId="17" hidden="1">#REF!</definedName>
    <definedName name="XRefCopy12" hidden="1">#REF!</definedName>
    <definedName name="XRefCopy12Row" localSheetId="14" hidden="1">#REF!</definedName>
    <definedName name="XRefCopy12Row" localSheetId="8" hidden="1">#REF!</definedName>
    <definedName name="XRefCopy12Row" localSheetId="6" hidden="1">#REF!</definedName>
    <definedName name="XRefCopy12Row" localSheetId="9" hidden="1">#REF!</definedName>
    <definedName name="XRefCopy12Row" localSheetId="16" hidden="1">#REF!</definedName>
    <definedName name="XRefCopy12Row" localSheetId="3" hidden="1">#REF!</definedName>
    <definedName name="XRefCopy12Row" localSheetId="12" hidden="1">#REF!</definedName>
    <definedName name="XRefCopy12Row" localSheetId="21" hidden="1">#REF!</definedName>
    <definedName name="XRefCopy12Row" localSheetId="10" hidden="1">#REF!</definedName>
    <definedName name="XRefCopy12Row" localSheetId="17" hidden="1">#REF!</definedName>
    <definedName name="XRefCopy12Row" hidden="1">#REF!</definedName>
    <definedName name="XRefCopy13" localSheetId="14" hidden="1">#REF!</definedName>
    <definedName name="XRefCopy13" localSheetId="8" hidden="1">#REF!</definedName>
    <definedName name="XRefCopy13" localSheetId="6" hidden="1">#REF!</definedName>
    <definedName name="XRefCopy13" localSheetId="9" hidden="1">#REF!</definedName>
    <definedName name="XRefCopy13" localSheetId="16" hidden="1">#REF!</definedName>
    <definedName name="XRefCopy13" localSheetId="3" hidden="1">#REF!</definedName>
    <definedName name="XRefCopy13" localSheetId="12" hidden="1">#REF!</definedName>
    <definedName name="XRefCopy13" localSheetId="21" hidden="1">#REF!</definedName>
    <definedName name="XRefCopy13" localSheetId="10" hidden="1">#REF!</definedName>
    <definedName name="XRefCopy13" localSheetId="17" hidden="1">#REF!</definedName>
    <definedName name="XRefCopy13" hidden="1">#REF!</definedName>
    <definedName name="XRefCopy13Row" localSheetId="14" hidden="1">#REF!</definedName>
    <definedName name="XRefCopy13Row" localSheetId="8" hidden="1">#REF!</definedName>
    <definedName name="XRefCopy13Row" localSheetId="6" hidden="1">#REF!</definedName>
    <definedName name="XRefCopy13Row" localSheetId="9" hidden="1">#REF!</definedName>
    <definedName name="XRefCopy13Row" localSheetId="16" hidden="1">#REF!</definedName>
    <definedName name="XRefCopy13Row" localSheetId="3" hidden="1">#REF!</definedName>
    <definedName name="XRefCopy13Row" localSheetId="12" hidden="1">#REF!</definedName>
    <definedName name="XRefCopy13Row" localSheetId="21" hidden="1">#REF!</definedName>
    <definedName name="XRefCopy13Row" localSheetId="10" hidden="1">#REF!</definedName>
    <definedName name="XRefCopy13Row" localSheetId="17" hidden="1">#REF!</definedName>
    <definedName name="XRefCopy13Row" hidden="1">#REF!</definedName>
    <definedName name="XRefCopy14" localSheetId="14" hidden="1">#REF!</definedName>
    <definedName name="XRefCopy14" localSheetId="8" hidden="1">#REF!</definedName>
    <definedName name="XRefCopy14" localSheetId="6" hidden="1">#REF!</definedName>
    <definedName name="XRefCopy14" localSheetId="9" hidden="1">#REF!</definedName>
    <definedName name="XRefCopy14" localSheetId="16" hidden="1">#REF!</definedName>
    <definedName name="XRefCopy14" localSheetId="3" hidden="1">#REF!</definedName>
    <definedName name="XRefCopy14" localSheetId="12" hidden="1">#REF!</definedName>
    <definedName name="XRefCopy14" localSheetId="21" hidden="1">#REF!</definedName>
    <definedName name="XRefCopy14" localSheetId="10" hidden="1">#REF!</definedName>
    <definedName name="XRefCopy14" localSheetId="17" hidden="1">#REF!</definedName>
    <definedName name="XRefCopy14" hidden="1">#REF!</definedName>
    <definedName name="XRefCopy14Row" localSheetId="14" hidden="1">#REF!</definedName>
    <definedName name="XRefCopy14Row" localSheetId="8" hidden="1">#REF!</definedName>
    <definedName name="XRefCopy14Row" localSheetId="6" hidden="1">#REF!</definedName>
    <definedName name="XRefCopy14Row" localSheetId="9" hidden="1">#REF!</definedName>
    <definedName name="XRefCopy14Row" localSheetId="16" hidden="1">#REF!</definedName>
    <definedName name="XRefCopy14Row" localSheetId="3" hidden="1">#REF!</definedName>
    <definedName name="XRefCopy14Row" localSheetId="12" hidden="1">#REF!</definedName>
    <definedName name="XRefCopy14Row" localSheetId="21" hidden="1">#REF!</definedName>
    <definedName name="XRefCopy14Row" localSheetId="10" hidden="1">#REF!</definedName>
    <definedName name="XRefCopy14Row" localSheetId="17" hidden="1">#REF!</definedName>
    <definedName name="XRefCopy14Row" hidden="1">#REF!</definedName>
    <definedName name="XRefCopy15" localSheetId="14" hidden="1">#REF!</definedName>
    <definedName name="XRefCopy15" localSheetId="8" hidden="1">#REF!</definedName>
    <definedName name="XRefCopy15" localSheetId="6" hidden="1">#REF!</definedName>
    <definedName name="XRefCopy15" localSheetId="9" hidden="1">#REF!</definedName>
    <definedName name="XRefCopy15" localSheetId="16" hidden="1">#REF!</definedName>
    <definedName name="XRefCopy15" localSheetId="3" hidden="1">#REF!</definedName>
    <definedName name="XRefCopy15" localSheetId="12" hidden="1">#REF!</definedName>
    <definedName name="XRefCopy15" localSheetId="21" hidden="1">#REF!</definedName>
    <definedName name="XRefCopy15" localSheetId="10" hidden="1">#REF!</definedName>
    <definedName name="XRefCopy15" localSheetId="17" hidden="1">#REF!</definedName>
    <definedName name="XRefCopy15" hidden="1">#REF!</definedName>
    <definedName name="XRefCopy15Row" localSheetId="14" hidden="1">#REF!</definedName>
    <definedName name="XRefCopy15Row" localSheetId="8" hidden="1">#REF!</definedName>
    <definedName name="XRefCopy15Row" localSheetId="6" hidden="1">#REF!</definedName>
    <definedName name="XRefCopy15Row" localSheetId="9" hidden="1">#REF!</definedName>
    <definedName name="XRefCopy15Row" localSheetId="16" hidden="1">#REF!</definedName>
    <definedName name="XRefCopy15Row" localSheetId="3" hidden="1">#REF!</definedName>
    <definedName name="XRefCopy15Row" localSheetId="12" hidden="1">#REF!</definedName>
    <definedName name="XRefCopy15Row" localSheetId="21" hidden="1">#REF!</definedName>
    <definedName name="XRefCopy15Row" localSheetId="10" hidden="1">#REF!</definedName>
    <definedName name="XRefCopy15Row" localSheetId="17" hidden="1">#REF!</definedName>
    <definedName name="XRefCopy15Row" hidden="1">#REF!</definedName>
    <definedName name="XRefCopy16" localSheetId="14" hidden="1">#REF!</definedName>
    <definedName name="XRefCopy16" localSheetId="8" hidden="1">#REF!</definedName>
    <definedName name="XRefCopy16" localSheetId="6" hidden="1">#REF!</definedName>
    <definedName name="XRefCopy16" localSheetId="9" hidden="1">#REF!</definedName>
    <definedName name="XRefCopy16" localSheetId="16" hidden="1">#REF!</definedName>
    <definedName name="XRefCopy16" localSheetId="3" hidden="1">#REF!</definedName>
    <definedName name="XRefCopy16" localSheetId="12" hidden="1">#REF!</definedName>
    <definedName name="XRefCopy16" localSheetId="21" hidden="1">#REF!</definedName>
    <definedName name="XRefCopy16" localSheetId="10" hidden="1">#REF!</definedName>
    <definedName name="XRefCopy16" localSheetId="17" hidden="1">#REF!</definedName>
    <definedName name="XRefCopy16" hidden="1">#REF!</definedName>
    <definedName name="XRefCopy16Row" localSheetId="14" hidden="1">#REF!</definedName>
    <definedName name="XRefCopy16Row" localSheetId="8" hidden="1">#REF!</definedName>
    <definedName name="XRefCopy16Row" localSheetId="6" hidden="1">#REF!</definedName>
    <definedName name="XRefCopy16Row" localSheetId="9" hidden="1">#REF!</definedName>
    <definedName name="XRefCopy16Row" localSheetId="16" hidden="1">#REF!</definedName>
    <definedName name="XRefCopy16Row" localSheetId="3" hidden="1">#REF!</definedName>
    <definedName name="XRefCopy16Row" localSheetId="12" hidden="1">#REF!</definedName>
    <definedName name="XRefCopy16Row" localSheetId="21" hidden="1">#REF!</definedName>
    <definedName name="XRefCopy16Row" localSheetId="10" hidden="1">#REF!</definedName>
    <definedName name="XRefCopy16Row" localSheetId="17" hidden="1">#REF!</definedName>
    <definedName name="XRefCopy16Row" hidden="1">#REF!</definedName>
    <definedName name="XRefCopy17" localSheetId="14" hidden="1">#REF!</definedName>
    <definedName name="XRefCopy17" localSheetId="8" hidden="1">#REF!</definedName>
    <definedName name="XRefCopy17" localSheetId="6" hidden="1">#REF!</definedName>
    <definedName name="XRefCopy17" localSheetId="9" hidden="1">#REF!</definedName>
    <definedName name="XRefCopy17" localSheetId="16" hidden="1">#REF!</definedName>
    <definedName name="XRefCopy17" localSheetId="3" hidden="1">#REF!</definedName>
    <definedName name="XRefCopy17" localSheetId="12" hidden="1">#REF!</definedName>
    <definedName name="XRefCopy17" localSheetId="21" hidden="1">#REF!</definedName>
    <definedName name="XRefCopy17" localSheetId="10" hidden="1">#REF!</definedName>
    <definedName name="XRefCopy17" localSheetId="17" hidden="1">#REF!</definedName>
    <definedName name="XRefCopy17" hidden="1">#REF!</definedName>
    <definedName name="XRefCopy17Row" localSheetId="14" hidden="1">#REF!</definedName>
    <definedName name="XRefCopy17Row" localSheetId="8" hidden="1">#REF!</definedName>
    <definedName name="XRefCopy17Row" localSheetId="6" hidden="1">#REF!</definedName>
    <definedName name="XRefCopy17Row" localSheetId="9" hidden="1">#REF!</definedName>
    <definedName name="XRefCopy17Row" localSheetId="16" hidden="1">#REF!</definedName>
    <definedName name="XRefCopy17Row" localSheetId="3" hidden="1">#REF!</definedName>
    <definedName name="XRefCopy17Row" localSheetId="12" hidden="1">#REF!</definedName>
    <definedName name="XRefCopy17Row" localSheetId="21" hidden="1">#REF!</definedName>
    <definedName name="XRefCopy17Row" localSheetId="10" hidden="1">#REF!</definedName>
    <definedName name="XRefCopy17Row" localSheetId="17" hidden="1">#REF!</definedName>
    <definedName name="XRefCopy17Row" hidden="1">#REF!</definedName>
    <definedName name="XRefCopy18" localSheetId="14" hidden="1">#REF!</definedName>
    <definedName name="XRefCopy18" localSheetId="8" hidden="1">#REF!</definedName>
    <definedName name="XRefCopy18" localSheetId="6" hidden="1">#REF!</definedName>
    <definedName name="XRefCopy18" localSheetId="9" hidden="1">#REF!</definedName>
    <definedName name="XRefCopy18" localSheetId="16" hidden="1">#REF!</definedName>
    <definedName name="XRefCopy18" localSheetId="3" hidden="1">#REF!</definedName>
    <definedName name="XRefCopy18" localSheetId="12" hidden="1">#REF!</definedName>
    <definedName name="XRefCopy18" localSheetId="21" hidden="1">#REF!</definedName>
    <definedName name="XRefCopy18" localSheetId="10" hidden="1">#REF!</definedName>
    <definedName name="XRefCopy18" localSheetId="17" hidden="1">#REF!</definedName>
    <definedName name="XRefCopy18" hidden="1">#REF!</definedName>
    <definedName name="XRefCopy18Row" localSheetId="14" hidden="1">#REF!</definedName>
    <definedName name="XRefCopy18Row" localSheetId="8" hidden="1">#REF!</definedName>
    <definedName name="XRefCopy18Row" localSheetId="6" hidden="1">#REF!</definedName>
    <definedName name="XRefCopy18Row" localSheetId="9" hidden="1">#REF!</definedName>
    <definedName name="XRefCopy18Row" localSheetId="16" hidden="1">#REF!</definedName>
    <definedName name="XRefCopy18Row" localSheetId="3" hidden="1">#REF!</definedName>
    <definedName name="XRefCopy18Row" localSheetId="12" hidden="1">#REF!</definedName>
    <definedName name="XRefCopy18Row" localSheetId="21" hidden="1">#REF!</definedName>
    <definedName name="XRefCopy18Row" localSheetId="10" hidden="1">#REF!</definedName>
    <definedName name="XRefCopy18Row" localSheetId="17" hidden="1">#REF!</definedName>
    <definedName name="XRefCopy18Row" hidden="1">#REF!</definedName>
    <definedName name="XRefCopy19" localSheetId="14" hidden="1">[11]Movimiento!#REF!</definedName>
    <definedName name="XRefCopy19" localSheetId="8" hidden="1">[11]Movimiento!#REF!</definedName>
    <definedName name="XRefCopy19" localSheetId="6" hidden="1">[11]Movimiento!#REF!</definedName>
    <definedName name="XRefCopy19" localSheetId="9" hidden="1">[11]Movimiento!#REF!</definedName>
    <definedName name="XRefCopy19" localSheetId="16" hidden="1">[11]Movimiento!#REF!</definedName>
    <definedName name="XRefCopy19" localSheetId="3" hidden="1">[11]Movimiento!#REF!</definedName>
    <definedName name="XRefCopy19" localSheetId="12" hidden="1">[11]Movimiento!#REF!</definedName>
    <definedName name="XRefCopy19" localSheetId="21" hidden="1">[11]Movimiento!#REF!</definedName>
    <definedName name="XRefCopy19" localSheetId="10" hidden="1">[11]Movimiento!#REF!</definedName>
    <definedName name="XRefCopy19" localSheetId="17" hidden="1">[11]Movimiento!#REF!</definedName>
    <definedName name="XRefCopy19" hidden="1">[11]Movimiento!#REF!</definedName>
    <definedName name="XRefCopy19Row" localSheetId="14" hidden="1">#REF!</definedName>
    <definedName name="XRefCopy19Row" localSheetId="8" hidden="1">#REF!</definedName>
    <definedName name="XRefCopy19Row" localSheetId="6" hidden="1">#REF!</definedName>
    <definedName name="XRefCopy19Row" localSheetId="9" hidden="1">#REF!</definedName>
    <definedName name="XRefCopy19Row" localSheetId="16" hidden="1">#REF!</definedName>
    <definedName name="XRefCopy19Row" localSheetId="3" hidden="1">#REF!</definedName>
    <definedName name="XRefCopy19Row" localSheetId="12" hidden="1">#REF!</definedName>
    <definedName name="XRefCopy19Row" localSheetId="21" hidden="1">#REF!</definedName>
    <definedName name="XRefCopy19Row" localSheetId="10" hidden="1">#REF!</definedName>
    <definedName name="XRefCopy19Row" localSheetId="17" hidden="1">#REF!</definedName>
    <definedName name="XRefCopy19Row" hidden="1">#REF!</definedName>
    <definedName name="XRefCopy1Row" localSheetId="14" hidden="1">#REF!</definedName>
    <definedName name="XRefCopy1Row" localSheetId="8" hidden="1">#REF!</definedName>
    <definedName name="XRefCopy1Row" localSheetId="6" hidden="1">#REF!</definedName>
    <definedName name="XRefCopy1Row" localSheetId="9" hidden="1">#REF!</definedName>
    <definedName name="XRefCopy1Row" localSheetId="16" hidden="1">#REF!</definedName>
    <definedName name="XRefCopy1Row" localSheetId="3" hidden="1">#REF!</definedName>
    <definedName name="XRefCopy1Row" localSheetId="12" hidden="1">#REF!</definedName>
    <definedName name="XRefCopy1Row" localSheetId="21" hidden="1">#REF!</definedName>
    <definedName name="XRefCopy1Row" localSheetId="10" hidden="1">#REF!</definedName>
    <definedName name="XRefCopy1Row" localSheetId="17" hidden="1">#REF!</definedName>
    <definedName name="XRefCopy1Row" hidden="1">#REF!</definedName>
    <definedName name="XRefCopy2" localSheetId="14" hidden="1">#REF!</definedName>
    <definedName name="XRefCopy2" localSheetId="8" hidden="1">#REF!</definedName>
    <definedName name="XRefCopy2" localSheetId="6" hidden="1">#REF!</definedName>
    <definedName name="XRefCopy2" localSheetId="9" hidden="1">#REF!</definedName>
    <definedName name="XRefCopy2" localSheetId="16" hidden="1">#REF!</definedName>
    <definedName name="XRefCopy2" localSheetId="3" hidden="1">#REF!</definedName>
    <definedName name="XRefCopy2" localSheetId="12" hidden="1">#REF!</definedName>
    <definedName name="XRefCopy2" localSheetId="21" hidden="1">#REF!</definedName>
    <definedName name="XRefCopy2" localSheetId="10" hidden="1">#REF!</definedName>
    <definedName name="XRefCopy2" localSheetId="17" hidden="1">#REF!</definedName>
    <definedName name="XRefCopy2" hidden="1">#REF!</definedName>
    <definedName name="XRefCopy20" localSheetId="14" hidden="1">[11]Movimiento!#REF!</definedName>
    <definedName name="XRefCopy20" localSheetId="8" hidden="1">[11]Movimiento!#REF!</definedName>
    <definedName name="XRefCopy20" localSheetId="6" hidden="1">[11]Movimiento!#REF!</definedName>
    <definedName name="XRefCopy20" localSheetId="9" hidden="1">[11]Movimiento!#REF!</definedName>
    <definedName name="XRefCopy20" localSheetId="16" hidden="1">[11]Movimiento!#REF!</definedName>
    <definedName name="XRefCopy20" localSheetId="3" hidden="1">[11]Movimiento!#REF!</definedName>
    <definedName name="XRefCopy20" localSheetId="12" hidden="1">[11]Movimiento!#REF!</definedName>
    <definedName name="XRefCopy20" localSheetId="21" hidden="1">[11]Movimiento!#REF!</definedName>
    <definedName name="XRefCopy20" localSheetId="10" hidden="1">[11]Movimiento!#REF!</definedName>
    <definedName name="XRefCopy20" localSheetId="17" hidden="1">[11]Movimiento!#REF!</definedName>
    <definedName name="XRefCopy20" hidden="1">[11]Movimiento!#REF!</definedName>
    <definedName name="XRefCopy20Row" localSheetId="14" hidden="1">#REF!</definedName>
    <definedName name="XRefCopy20Row" localSheetId="8" hidden="1">#REF!</definedName>
    <definedName name="XRefCopy20Row" localSheetId="6" hidden="1">#REF!</definedName>
    <definedName name="XRefCopy20Row" localSheetId="9" hidden="1">#REF!</definedName>
    <definedName name="XRefCopy20Row" localSheetId="16" hidden="1">#REF!</definedName>
    <definedName name="XRefCopy20Row" localSheetId="3" hidden="1">#REF!</definedName>
    <definedName name="XRefCopy20Row" localSheetId="12" hidden="1">#REF!</definedName>
    <definedName name="XRefCopy20Row" localSheetId="21" hidden="1">#REF!</definedName>
    <definedName name="XRefCopy20Row" localSheetId="10" hidden="1">#REF!</definedName>
    <definedName name="XRefCopy20Row" localSheetId="17" hidden="1">#REF!</definedName>
    <definedName name="XRefCopy20Row" hidden="1">#REF!</definedName>
    <definedName name="XRefCopy21" localSheetId="14" hidden="1">[11]Movimiento!#REF!</definedName>
    <definedName name="XRefCopy21" localSheetId="8" hidden="1">[11]Movimiento!#REF!</definedName>
    <definedName name="XRefCopy21" localSheetId="6" hidden="1">[11]Movimiento!#REF!</definedName>
    <definedName name="XRefCopy21" localSheetId="9" hidden="1">[11]Movimiento!#REF!</definedName>
    <definedName name="XRefCopy21" localSheetId="16" hidden="1">[11]Movimiento!#REF!</definedName>
    <definedName name="XRefCopy21" localSheetId="3" hidden="1">[11]Movimiento!#REF!</definedName>
    <definedName name="XRefCopy21" localSheetId="12" hidden="1">[11]Movimiento!#REF!</definedName>
    <definedName name="XRefCopy21" localSheetId="21" hidden="1">[11]Movimiento!#REF!</definedName>
    <definedName name="XRefCopy21" localSheetId="10" hidden="1">[11]Movimiento!#REF!</definedName>
    <definedName name="XRefCopy21" localSheetId="17" hidden="1">[11]Movimiento!#REF!</definedName>
    <definedName name="XRefCopy21" hidden="1">[11]Movimiento!#REF!</definedName>
    <definedName name="XRefCopy21Row" localSheetId="14" hidden="1">#REF!</definedName>
    <definedName name="XRefCopy21Row" localSheetId="8" hidden="1">#REF!</definedName>
    <definedName name="XRefCopy21Row" localSheetId="6" hidden="1">#REF!</definedName>
    <definedName name="XRefCopy21Row" localSheetId="9" hidden="1">#REF!</definedName>
    <definedName name="XRefCopy21Row" localSheetId="16" hidden="1">#REF!</definedName>
    <definedName name="XRefCopy21Row" localSheetId="3" hidden="1">#REF!</definedName>
    <definedName name="XRefCopy21Row" localSheetId="12" hidden="1">#REF!</definedName>
    <definedName name="XRefCopy21Row" localSheetId="21" hidden="1">#REF!</definedName>
    <definedName name="XRefCopy21Row" localSheetId="10" hidden="1">#REF!</definedName>
    <definedName name="XRefCopy21Row" localSheetId="17" hidden="1">#REF!</definedName>
    <definedName name="XRefCopy21Row" hidden="1">#REF!</definedName>
    <definedName name="XRefCopy22" localSheetId="14" hidden="1">[11]Movimiento!#REF!</definedName>
    <definedName name="XRefCopy22" localSheetId="8" hidden="1">[11]Movimiento!#REF!</definedName>
    <definedName name="XRefCopy22" localSheetId="6" hidden="1">[11]Movimiento!#REF!</definedName>
    <definedName name="XRefCopy22" localSheetId="9" hidden="1">[11]Movimiento!#REF!</definedName>
    <definedName name="XRefCopy22" localSheetId="16" hidden="1">[11]Movimiento!#REF!</definedName>
    <definedName name="XRefCopy22" localSheetId="3" hidden="1">[11]Movimiento!#REF!</definedName>
    <definedName name="XRefCopy22" localSheetId="12" hidden="1">[11]Movimiento!#REF!</definedName>
    <definedName name="XRefCopy22" localSheetId="21" hidden="1">[11]Movimiento!#REF!</definedName>
    <definedName name="XRefCopy22" localSheetId="10" hidden="1">[11]Movimiento!#REF!</definedName>
    <definedName name="XRefCopy22" localSheetId="17" hidden="1">[11]Movimiento!#REF!</definedName>
    <definedName name="XRefCopy22" hidden="1">[11]Movimiento!#REF!</definedName>
    <definedName name="XRefCopy22Row" localSheetId="14" hidden="1">#REF!</definedName>
    <definedName name="XRefCopy22Row" localSheetId="8" hidden="1">#REF!</definedName>
    <definedName name="XRefCopy22Row" localSheetId="6" hidden="1">#REF!</definedName>
    <definedName name="XRefCopy22Row" localSheetId="9" hidden="1">#REF!</definedName>
    <definedName name="XRefCopy22Row" localSheetId="16" hidden="1">#REF!</definedName>
    <definedName name="XRefCopy22Row" localSheetId="3" hidden="1">#REF!</definedName>
    <definedName name="XRefCopy22Row" localSheetId="12" hidden="1">#REF!</definedName>
    <definedName name="XRefCopy22Row" localSheetId="21" hidden="1">#REF!</definedName>
    <definedName name="XRefCopy22Row" localSheetId="10" hidden="1">#REF!</definedName>
    <definedName name="XRefCopy22Row" localSheetId="17" hidden="1">#REF!</definedName>
    <definedName name="XRefCopy22Row" hidden="1">#REF!</definedName>
    <definedName name="XRefCopy23" localSheetId="14" hidden="1">[11]Movimiento!#REF!</definedName>
    <definedName name="XRefCopy23" localSheetId="8" hidden="1">[11]Movimiento!#REF!</definedName>
    <definedName name="XRefCopy23" localSheetId="6" hidden="1">[11]Movimiento!#REF!</definedName>
    <definedName name="XRefCopy23" localSheetId="9" hidden="1">[11]Movimiento!#REF!</definedName>
    <definedName name="XRefCopy23" localSheetId="16" hidden="1">[11]Movimiento!#REF!</definedName>
    <definedName name="XRefCopy23" localSheetId="3" hidden="1">[11]Movimiento!#REF!</definedName>
    <definedName name="XRefCopy23" localSheetId="12" hidden="1">[11]Movimiento!#REF!</definedName>
    <definedName name="XRefCopy23" localSheetId="21" hidden="1">[11]Movimiento!#REF!</definedName>
    <definedName name="XRefCopy23" localSheetId="10" hidden="1">[11]Movimiento!#REF!</definedName>
    <definedName name="XRefCopy23" localSheetId="17" hidden="1">[11]Movimiento!#REF!</definedName>
    <definedName name="XRefCopy23" hidden="1">[11]Movimiento!#REF!</definedName>
    <definedName name="XRefCopy23Row" localSheetId="14" hidden="1">#REF!</definedName>
    <definedName name="XRefCopy23Row" localSheetId="8" hidden="1">#REF!</definedName>
    <definedName name="XRefCopy23Row" localSheetId="6" hidden="1">#REF!</definedName>
    <definedName name="XRefCopy23Row" localSheetId="9" hidden="1">#REF!</definedName>
    <definedName name="XRefCopy23Row" localSheetId="16" hidden="1">#REF!</definedName>
    <definedName name="XRefCopy23Row" localSheetId="3" hidden="1">#REF!</definedName>
    <definedName name="XRefCopy23Row" localSheetId="12" hidden="1">#REF!</definedName>
    <definedName name="XRefCopy23Row" localSheetId="21" hidden="1">#REF!</definedName>
    <definedName name="XRefCopy23Row" localSheetId="10" hidden="1">#REF!</definedName>
    <definedName name="XRefCopy23Row" localSheetId="17" hidden="1">#REF!</definedName>
    <definedName name="XRefCopy23Row" hidden="1">#REF!</definedName>
    <definedName name="XRefCopy24" localSheetId="14" hidden="1">'[11]Dep ejercicio'!#REF!</definedName>
    <definedName name="XRefCopy24" localSheetId="8" hidden="1">'[11]Dep ejercicio'!#REF!</definedName>
    <definedName name="XRefCopy24" localSheetId="6" hidden="1">'[11]Dep ejercicio'!#REF!</definedName>
    <definedName name="XRefCopy24" localSheetId="9" hidden="1">'[11]Dep ejercicio'!#REF!</definedName>
    <definedName name="XRefCopy24" localSheetId="16" hidden="1">'[11]Dep ejercicio'!#REF!</definedName>
    <definedName name="XRefCopy24" localSheetId="3" hidden="1">'[11]Dep ejercicio'!#REF!</definedName>
    <definedName name="XRefCopy24" localSheetId="12" hidden="1">'[11]Dep ejercicio'!#REF!</definedName>
    <definedName name="XRefCopy24" localSheetId="21" hidden="1">'[11]Dep ejercicio'!#REF!</definedName>
    <definedName name="XRefCopy24" localSheetId="10" hidden="1">'[11]Dep ejercicio'!#REF!</definedName>
    <definedName name="XRefCopy24" localSheetId="17" hidden="1">'[11]Dep ejercicio'!#REF!</definedName>
    <definedName name="XRefCopy24" hidden="1">'[11]Dep ejercicio'!#REF!</definedName>
    <definedName name="XRefCopy24Row" localSheetId="14" hidden="1">#REF!</definedName>
    <definedName name="XRefCopy24Row" localSheetId="8" hidden="1">#REF!</definedName>
    <definedName name="XRefCopy24Row" localSheetId="6" hidden="1">#REF!</definedName>
    <definedName name="XRefCopy24Row" localSheetId="9" hidden="1">#REF!</definedName>
    <definedName name="XRefCopy24Row" localSheetId="16" hidden="1">#REF!</definedName>
    <definedName name="XRefCopy24Row" localSheetId="3" hidden="1">#REF!</definedName>
    <definedName name="XRefCopy24Row" localSheetId="12" hidden="1">#REF!</definedName>
    <definedName name="XRefCopy24Row" localSheetId="21" hidden="1">#REF!</definedName>
    <definedName name="XRefCopy24Row" localSheetId="10" hidden="1">#REF!</definedName>
    <definedName name="XRefCopy24Row" localSheetId="17" hidden="1">#REF!</definedName>
    <definedName name="XRefCopy24Row" hidden="1">#REF!</definedName>
    <definedName name="XRefCopy25Row" localSheetId="14" hidden="1">#REF!</definedName>
    <definedName name="XRefCopy25Row" localSheetId="8" hidden="1">#REF!</definedName>
    <definedName name="XRefCopy25Row" localSheetId="6" hidden="1">#REF!</definedName>
    <definedName name="XRefCopy25Row" localSheetId="9" hidden="1">#REF!</definedName>
    <definedName name="XRefCopy25Row" localSheetId="16" hidden="1">#REF!</definedName>
    <definedName name="XRefCopy25Row" localSheetId="3" hidden="1">#REF!</definedName>
    <definedName name="XRefCopy25Row" localSheetId="12" hidden="1">#REF!</definedName>
    <definedName name="XRefCopy25Row" localSheetId="21" hidden="1">#REF!</definedName>
    <definedName name="XRefCopy25Row" localSheetId="10" hidden="1">#REF!</definedName>
    <definedName name="XRefCopy25Row" localSheetId="17" hidden="1">#REF!</definedName>
    <definedName name="XRefCopy25Row" hidden="1">#REF!</definedName>
    <definedName name="XRefCopy26Row" localSheetId="14" hidden="1">#REF!</definedName>
    <definedName name="XRefCopy26Row" localSheetId="8" hidden="1">#REF!</definedName>
    <definedName name="XRefCopy26Row" localSheetId="6" hidden="1">#REF!</definedName>
    <definedName name="XRefCopy26Row" localSheetId="9" hidden="1">#REF!</definedName>
    <definedName name="XRefCopy26Row" localSheetId="16" hidden="1">#REF!</definedName>
    <definedName name="XRefCopy26Row" localSheetId="3" hidden="1">#REF!</definedName>
    <definedName name="XRefCopy26Row" localSheetId="12" hidden="1">#REF!</definedName>
    <definedName name="XRefCopy26Row" localSheetId="21" hidden="1">#REF!</definedName>
    <definedName name="XRefCopy26Row" localSheetId="10" hidden="1">#REF!</definedName>
    <definedName name="XRefCopy26Row" localSheetId="17" hidden="1">#REF!</definedName>
    <definedName name="XRefCopy26Row" hidden="1">#REF!</definedName>
    <definedName name="XRefCopy27Row" localSheetId="14" hidden="1">#REF!</definedName>
    <definedName name="XRefCopy27Row" localSheetId="8" hidden="1">#REF!</definedName>
    <definedName name="XRefCopy27Row" localSheetId="6" hidden="1">#REF!</definedName>
    <definedName name="XRefCopy27Row" localSheetId="9" hidden="1">#REF!</definedName>
    <definedName name="XRefCopy27Row" localSheetId="16" hidden="1">#REF!</definedName>
    <definedName name="XRefCopy27Row" localSheetId="3" hidden="1">#REF!</definedName>
    <definedName name="XRefCopy27Row" localSheetId="12" hidden="1">#REF!</definedName>
    <definedName name="XRefCopy27Row" localSheetId="21" hidden="1">#REF!</definedName>
    <definedName name="XRefCopy27Row" localSheetId="10" hidden="1">#REF!</definedName>
    <definedName name="XRefCopy27Row" localSheetId="17" hidden="1">#REF!</definedName>
    <definedName name="XRefCopy27Row" hidden="1">#REF!</definedName>
    <definedName name="XRefCopy28Row" localSheetId="14" hidden="1">#REF!</definedName>
    <definedName name="XRefCopy28Row" localSheetId="8" hidden="1">#REF!</definedName>
    <definedName name="XRefCopy28Row" localSheetId="6" hidden="1">#REF!</definedName>
    <definedName name="XRefCopy28Row" localSheetId="9" hidden="1">#REF!</definedName>
    <definedName name="XRefCopy28Row" localSheetId="16" hidden="1">#REF!</definedName>
    <definedName name="XRefCopy28Row" localSheetId="3" hidden="1">#REF!</definedName>
    <definedName name="XRefCopy28Row" localSheetId="12" hidden="1">#REF!</definedName>
    <definedName name="XRefCopy28Row" localSheetId="21" hidden="1">#REF!</definedName>
    <definedName name="XRefCopy28Row" localSheetId="10" hidden="1">#REF!</definedName>
    <definedName name="XRefCopy28Row" localSheetId="17" hidden="1">#REF!</definedName>
    <definedName name="XRefCopy28Row" hidden="1">#REF!</definedName>
    <definedName name="XRefCopy29Row" localSheetId="14" hidden="1">#REF!</definedName>
    <definedName name="XRefCopy29Row" localSheetId="8" hidden="1">#REF!</definedName>
    <definedName name="XRefCopy29Row" localSheetId="6" hidden="1">#REF!</definedName>
    <definedName name="XRefCopy29Row" localSheetId="9" hidden="1">#REF!</definedName>
    <definedName name="XRefCopy29Row" localSheetId="16" hidden="1">#REF!</definedName>
    <definedName name="XRefCopy29Row" localSheetId="3" hidden="1">#REF!</definedName>
    <definedName name="XRefCopy29Row" localSheetId="12" hidden="1">#REF!</definedName>
    <definedName name="XRefCopy29Row" localSheetId="21" hidden="1">#REF!</definedName>
    <definedName name="XRefCopy29Row" localSheetId="10" hidden="1">#REF!</definedName>
    <definedName name="XRefCopy29Row" localSheetId="17" hidden="1">#REF!</definedName>
    <definedName name="XRefCopy29Row" hidden="1">#REF!</definedName>
    <definedName name="XRefCopy2Row" localSheetId="14" hidden="1">#REF!</definedName>
    <definedName name="XRefCopy2Row" localSheetId="8" hidden="1">#REF!</definedName>
    <definedName name="XRefCopy2Row" localSheetId="6" hidden="1">#REF!</definedName>
    <definedName name="XRefCopy2Row" localSheetId="9" hidden="1">#REF!</definedName>
    <definedName name="XRefCopy2Row" localSheetId="16" hidden="1">#REF!</definedName>
    <definedName name="XRefCopy2Row" localSheetId="3" hidden="1">#REF!</definedName>
    <definedName name="XRefCopy2Row" localSheetId="12" hidden="1">#REF!</definedName>
    <definedName name="XRefCopy2Row" localSheetId="21" hidden="1">#REF!</definedName>
    <definedName name="XRefCopy2Row" localSheetId="10" hidden="1">#REF!</definedName>
    <definedName name="XRefCopy2Row" localSheetId="17" hidden="1">#REF!</definedName>
    <definedName name="XRefCopy2Row" hidden="1">#REF!</definedName>
    <definedName name="XRefCopy3" localSheetId="14" hidden="1">#REF!</definedName>
    <definedName name="XRefCopy3" localSheetId="8" hidden="1">#REF!</definedName>
    <definedName name="XRefCopy3" localSheetId="6" hidden="1">#REF!</definedName>
    <definedName name="XRefCopy3" localSheetId="9" hidden="1">#REF!</definedName>
    <definedName name="XRefCopy3" localSheetId="16" hidden="1">#REF!</definedName>
    <definedName name="XRefCopy3" localSheetId="3" hidden="1">#REF!</definedName>
    <definedName name="XRefCopy3" localSheetId="12" hidden="1">#REF!</definedName>
    <definedName name="XRefCopy3" localSheetId="21" hidden="1">#REF!</definedName>
    <definedName name="XRefCopy3" localSheetId="10" hidden="1">#REF!</definedName>
    <definedName name="XRefCopy3" localSheetId="17" hidden="1">#REF!</definedName>
    <definedName name="XRefCopy3" hidden="1">#REF!</definedName>
    <definedName name="XRefCopy30" localSheetId="14" hidden="1">[11]Movimiento!#REF!</definedName>
    <definedName name="XRefCopy30" localSheetId="8" hidden="1">[11]Movimiento!#REF!</definedName>
    <definedName name="XRefCopy30" localSheetId="6" hidden="1">[11]Movimiento!#REF!</definedName>
    <definedName name="XRefCopy30" localSheetId="9" hidden="1">[11]Movimiento!#REF!</definedName>
    <definedName name="XRefCopy30" localSheetId="16" hidden="1">[11]Movimiento!#REF!</definedName>
    <definedName name="XRefCopy30" localSheetId="3" hidden="1">[11]Movimiento!#REF!</definedName>
    <definedName name="XRefCopy30" localSheetId="12" hidden="1">[11]Movimiento!#REF!</definedName>
    <definedName name="XRefCopy30" localSheetId="21" hidden="1">[11]Movimiento!#REF!</definedName>
    <definedName name="XRefCopy30" localSheetId="10" hidden="1">[11]Movimiento!#REF!</definedName>
    <definedName name="XRefCopy30" localSheetId="17" hidden="1">[11]Movimiento!#REF!</definedName>
    <definedName name="XRefCopy30" hidden="1">[11]Movimiento!#REF!</definedName>
    <definedName name="XRefCopy30Row" localSheetId="14" hidden="1">#REF!</definedName>
    <definedName name="XRefCopy30Row" localSheetId="8" hidden="1">#REF!</definedName>
    <definedName name="XRefCopy30Row" localSheetId="6" hidden="1">#REF!</definedName>
    <definedName name="XRefCopy30Row" localSheetId="9" hidden="1">#REF!</definedName>
    <definedName name="XRefCopy30Row" localSheetId="16" hidden="1">#REF!</definedName>
    <definedName name="XRefCopy30Row" localSheetId="3" hidden="1">#REF!</definedName>
    <definedName name="XRefCopy30Row" localSheetId="12" hidden="1">#REF!</definedName>
    <definedName name="XRefCopy30Row" localSheetId="21" hidden="1">#REF!</definedName>
    <definedName name="XRefCopy30Row" localSheetId="10" hidden="1">#REF!</definedName>
    <definedName name="XRefCopy30Row" localSheetId="17" hidden="1">#REF!</definedName>
    <definedName name="XRefCopy30Row" hidden="1">#REF!</definedName>
    <definedName name="XRefCopy31" localSheetId="14" hidden="1">[11]Movimiento!#REF!</definedName>
    <definedName name="XRefCopy31" localSheetId="8" hidden="1">[11]Movimiento!#REF!</definedName>
    <definedName name="XRefCopy31" localSheetId="6" hidden="1">[11]Movimiento!#REF!</definedName>
    <definedName name="XRefCopy31" localSheetId="9" hidden="1">[11]Movimiento!#REF!</definedName>
    <definedName name="XRefCopy31" localSheetId="16" hidden="1">[11]Movimiento!#REF!</definedName>
    <definedName name="XRefCopy31" localSheetId="3" hidden="1">[11]Movimiento!#REF!</definedName>
    <definedName name="XRefCopy31" localSheetId="12" hidden="1">[11]Movimiento!#REF!</definedName>
    <definedName name="XRefCopy31" localSheetId="21" hidden="1">[11]Movimiento!#REF!</definedName>
    <definedName name="XRefCopy31" localSheetId="10" hidden="1">[11]Movimiento!#REF!</definedName>
    <definedName name="XRefCopy31" localSheetId="17" hidden="1">[11]Movimiento!#REF!</definedName>
    <definedName name="XRefCopy31" hidden="1">[11]Movimiento!#REF!</definedName>
    <definedName name="XRefCopy31Row" localSheetId="14" hidden="1">#REF!</definedName>
    <definedName name="XRefCopy31Row" localSheetId="8" hidden="1">#REF!</definedName>
    <definedName name="XRefCopy31Row" localSheetId="6" hidden="1">#REF!</definedName>
    <definedName name="XRefCopy31Row" localSheetId="9" hidden="1">#REF!</definedName>
    <definedName name="XRefCopy31Row" localSheetId="16" hidden="1">#REF!</definedName>
    <definedName name="XRefCopy31Row" localSheetId="3" hidden="1">#REF!</definedName>
    <definedName name="XRefCopy31Row" localSheetId="12" hidden="1">#REF!</definedName>
    <definedName name="XRefCopy31Row" localSheetId="21" hidden="1">#REF!</definedName>
    <definedName name="XRefCopy31Row" localSheetId="10" hidden="1">#REF!</definedName>
    <definedName name="XRefCopy31Row" localSheetId="17" hidden="1">#REF!</definedName>
    <definedName name="XRefCopy31Row" hidden="1">#REF!</definedName>
    <definedName name="XRefCopy3Row" localSheetId="14" hidden="1">#REF!</definedName>
    <definedName name="XRefCopy3Row" localSheetId="8" hidden="1">#REF!</definedName>
    <definedName name="XRefCopy3Row" localSheetId="6" hidden="1">#REF!</definedName>
    <definedName name="XRefCopy3Row" localSheetId="9" hidden="1">#REF!</definedName>
    <definedName name="XRefCopy3Row" localSheetId="16" hidden="1">#REF!</definedName>
    <definedName name="XRefCopy3Row" localSheetId="3" hidden="1">#REF!</definedName>
    <definedName name="XRefCopy3Row" localSheetId="12" hidden="1">#REF!</definedName>
    <definedName name="XRefCopy3Row" localSheetId="21" hidden="1">#REF!</definedName>
    <definedName name="XRefCopy3Row" localSheetId="10" hidden="1">#REF!</definedName>
    <definedName name="XRefCopy3Row" localSheetId="17" hidden="1">#REF!</definedName>
    <definedName name="XRefCopy3Row" hidden="1">#REF!</definedName>
    <definedName name="XRefCopy4" localSheetId="14" hidden="1">#REF!</definedName>
    <definedName name="XRefCopy4" localSheetId="8" hidden="1">#REF!</definedName>
    <definedName name="XRefCopy4" localSheetId="6" hidden="1">#REF!</definedName>
    <definedName name="XRefCopy4" localSheetId="9" hidden="1">#REF!</definedName>
    <definedName name="XRefCopy4" localSheetId="16" hidden="1">#REF!</definedName>
    <definedName name="XRefCopy4" localSheetId="3" hidden="1">#REF!</definedName>
    <definedName name="XRefCopy4" localSheetId="12" hidden="1">#REF!</definedName>
    <definedName name="XRefCopy4" localSheetId="21" hidden="1">#REF!</definedName>
    <definedName name="XRefCopy4" localSheetId="10" hidden="1">#REF!</definedName>
    <definedName name="XRefCopy4" localSheetId="17" hidden="1">#REF!</definedName>
    <definedName name="XRefCopy4" hidden="1">#REF!</definedName>
    <definedName name="XRefCopy46Row" localSheetId="14" hidden="1">#REF!</definedName>
    <definedName name="XRefCopy46Row" localSheetId="8" hidden="1">#REF!</definedName>
    <definedName name="XRefCopy46Row" localSheetId="6" hidden="1">#REF!</definedName>
    <definedName name="XRefCopy46Row" localSheetId="9" hidden="1">#REF!</definedName>
    <definedName name="XRefCopy46Row" localSheetId="16" hidden="1">#REF!</definedName>
    <definedName name="XRefCopy46Row" localSheetId="3" hidden="1">#REF!</definedName>
    <definedName name="XRefCopy46Row" localSheetId="12" hidden="1">#REF!</definedName>
    <definedName name="XRefCopy46Row" localSheetId="21" hidden="1">#REF!</definedName>
    <definedName name="XRefCopy46Row" localSheetId="10" hidden="1">#REF!</definedName>
    <definedName name="XRefCopy46Row" localSheetId="17" hidden="1">#REF!</definedName>
    <definedName name="XRefCopy46Row" hidden="1">#REF!</definedName>
    <definedName name="XRefCopy4Row" localSheetId="14" hidden="1">#REF!</definedName>
    <definedName name="XRefCopy4Row" localSheetId="8" hidden="1">#REF!</definedName>
    <definedName name="XRefCopy4Row" localSheetId="6" hidden="1">#REF!</definedName>
    <definedName name="XRefCopy4Row" localSheetId="9" hidden="1">#REF!</definedName>
    <definedName name="XRefCopy4Row" localSheetId="16" hidden="1">#REF!</definedName>
    <definedName name="XRefCopy4Row" localSheetId="3" hidden="1">#REF!</definedName>
    <definedName name="XRefCopy4Row" localSheetId="12" hidden="1">#REF!</definedName>
    <definedName name="XRefCopy4Row" localSheetId="21" hidden="1">#REF!</definedName>
    <definedName name="XRefCopy4Row" localSheetId="10" hidden="1">#REF!</definedName>
    <definedName name="XRefCopy4Row" localSheetId="17" hidden="1">#REF!</definedName>
    <definedName name="XRefCopy4Row" hidden="1">#REF!</definedName>
    <definedName name="XRefCopy5" localSheetId="14" hidden="1">#REF!</definedName>
    <definedName name="XRefCopy5" localSheetId="8" hidden="1">#REF!</definedName>
    <definedName name="XRefCopy5" localSheetId="6" hidden="1">#REF!</definedName>
    <definedName name="XRefCopy5" localSheetId="9" hidden="1">#REF!</definedName>
    <definedName name="XRefCopy5" localSheetId="16" hidden="1">#REF!</definedName>
    <definedName name="XRefCopy5" localSheetId="3" hidden="1">#REF!</definedName>
    <definedName name="XRefCopy5" localSheetId="12" hidden="1">#REF!</definedName>
    <definedName name="XRefCopy5" localSheetId="21" hidden="1">#REF!</definedName>
    <definedName name="XRefCopy5" localSheetId="10" hidden="1">#REF!</definedName>
    <definedName name="XRefCopy5" localSheetId="17" hidden="1">#REF!</definedName>
    <definedName name="XRefCopy5" hidden="1">#REF!</definedName>
    <definedName name="XRefCopy52Row" localSheetId="14" hidden="1">#REF!</definedName>
    <definedName name="XRefCopy52Row" localSheetId="8" hidden="1">#REF!</definedName>
    <definedName name="XRefCopy52Row" localSheetId="6" hidden="1">#REF!</definedName>
    <definedName name="XRefCopy52Row" localSheetId="9" hidden="1">#REF!</definedName>
    <definedName name="XRefCopy52Row" localSheetId="16" hidden="1">#REF!</definedName>
    <definedName name="XRefCopy52Row" localSheetId="3" hidden="1">#REF!</definedName>
    <definedName name="XRefCopy52Row" localSheetId="12" hidden="1">#REF!</definedName>
    <definedName name="XRefCopy52Row" localSheetId="21" hidden="1">#REF!</definedName>
    <definedName name="XRefCopy52Row" localSheetId="10" hidden="1">#REF!</definedName>
    <definedName name="XRefCopy52Row" localSheetId="17" hidden="1">#REF!</definedName>
    <definedName name="XRefCopy52Row" hidden="1">#REF!</definedName>
    <definedName name="XRefCopy53" localSheetId="14" hidden="1">'[11]Dep ejercicio'!#REF!</definedName>
    <definedName name="XRefCopy53" localSheetId="8" hidden="1">'[11]Dep ejercicio'!#REF!</definedName>
    <definedName name="XRefCopy53" localSheetId="6" hidden="1">'[11]Dep ejercicio'!#REF!</definedName>
    <definedName name="XRefCopy53" localSheetId="9" hidden="1">'[11]Dep ejercicio'!#REF!</definedName>
    <definedName name="XRefCopy53" localSheetId="16" hidden="1">'[11]Dep ejercicio'!#REF!</definedName>
    <definedName name="XRefCopy53" localSheetId="3" hidden="1">'[11]Dep ejercicio'!#REF!</definedName>
    <definedName name="XRefCopy53" localSheetId="12" hidden="1">'[11]Dep ejercicio'!#REF!</definedName>
    <definedName name="XRefCopy53" localSheetId="21" hidden="1">'[11]Dep ejercicio'!#REF!</definedName>
    <definedName name="XRefCopy53" localSheetId="10" hidden="1">'[11]Dep ejercicio'!#REF!</definedName>
    <definedName name="XRefCopy53" localSheetId="17" hidden="1">'[11]Dep ejercicio'!#REF!</definedName>
    <definedName name="XRefCopy53" hidden="1">'[11]Dep ejercicio'!#REF!</definedName>
    <definedName name="XRefCopy53Row" localSheetId="14" hidden="1">#REF!</definedName>
    <definedName name="XRefCopy53Row" localSheetId="8" hidden="1">#REF!</definedName>
    <definedName name="XRefCopy53Row" localSheetId="6" hidden="1">#REF!</definedName>
    <definedName name="XRefCopy53Row" localSheetId="9" hidden="1">#REF!</definedName>
    <definedName name="XRefCopy53Row" localSheetId="16" hidden="1">#REF!</definedName>
    <definedName name="XRefCopy53Row" localSheetId="3" hidden="1">#REF!</definedName>
    <definedName name="XRefCopy53Row" localSheetId="12" hidden="1">#REF!</definedName>
    <definedName name="XRefCopy53Row" localSheetId="21" hidden="1">#REF!</definedName>
    <definedName name="XRefCopy53Row" localSheetId="10" hidden="1">#REF!</definedName>
    <definedName name="XRefCopy53Row" localSheetId="17" hidden="1">#REF!</definedName>
    <definedName name="XRefCopy53Row" hidden="1">#REF!</definedName>
    <definedName name="XRefCopy5Row" localSheetId="14" hidden="1">[12]XREF!#REF!</definedName>
    <definedName name="XRefCopy5Row" localSheetId="8" hidden="1">[12]XREF!#REF!</definedName>
    <definedName name="XRefCopy5Row" localSheetId="6" hidden="1">[12]XREF!#REF!</definedName>
    <definedName name="XRefCopy5Row" localSheetId="9" hidden="1">[12]XREF!#REF!</definedName>
    <definedName name="XRefCopy5Row" localSheetId="16" hidden="1">[12]XREF!#REF!</definedName>
    <definedName name="XRefCopy5Row" localSheetId="3" hidden="1">[12]XREF!#REF!</definedName>
    <definedName name="XRefCopy5Row" localSheetId="12" hidden="1">[12]XREF!#REF!</definedName>
    <definedName name="XRefCopy5Row" localSheetId="21" hidden="1">[12]XREF!#REF!</definedName>
    <definedName name="XRefCopy5Row" localSheetId="10" hidden="1">[12]XREF!#REF!</definedName>
    <definedName name="XRefCopy5Row" localSheetId="17" hidden="1">[12]XREF!#REF!</definedName>
    <definedName name="XRefCopy5Row" hidden="1">[12]XREF!#REF!</definedName>
    <definedName name="XRefCopy6" localSheetId="14" hidden="1">#REF!</definedName>
    <definedName name="XRefCopy6" localSheetId="8" hidden="1">#REF!</definedName>
    <definedName name="XRefCopy6" localSheetId="6" hidden="1">#REF!</definedName>
    <definedName name="XRefCopy6" localSheetId="9" hidden="1">#REF!</definedName>
    <definedName name="XRefCopy6" localSheetId="16" hidden="1">#REF!</definedName>
    <definedName name="XRefCopy6" localSheetId="3" hidden="1">#REF!</definedName>
    <definedName name="XRefCopy6" localSheetId="12" hidden="1">#REF!</definedName>
    <definedName name="XRefCopy6" localSheetId="21" hidden="1">#REF!</definedName>
    <definedName name="XRefCopy6" localSheetId="10" hidden="1">#REF!</definedName>
    <definedName name="XRefCopy6" localSheetId="17" hidden="1">#REF!</definedName>
    <definedName name="XRefCopy6" hidden="1">#REF!</definedName>
    <definedName name="XRefCopy6Row" localSheetId="14" hidden="1">[12]XREF!#REF!</definedName>
    <definedName name="XRefCopy6Row" localSheetId="8" hidden="1">[12]XREF!#REF!</definedName>
    <definedName name="XRefCopy6Row" localSheetId="6" hidden="1">[12]XREF!#REF!</definedName>
    <definedName name="XRefCopy6Row" localSheetId="9" hidden="1">[12]XREF!#REF!</definedName>
    <definedName name="XRefCopy6Row" localSheetId="16" hidden="1">[12]XREF!#REF!</definedName>
    <definedName name="XRefCopy6Row" localSheetId="3" hidden="1">[12]XREF!#REF!</definedName>
    <definedName name="XRefCopy6Row" localSheetId="12" hidden="1">[12]XREF!#REF!</definedName>
    <definedName name="XRefCopy6Row" localSheetId="21" hidden="1">[12]XREF!#REF!</definedName>
    <definedName name="XRefCopy6Row" localSheetId="10" hidden="1">[12]XREF!#REF!</definedName>
    <definedName name="XRefCopy6Row" localSheetId="17" hidden="1">[12]XREF!#REF!</definedName>
    <definedName name="XRefCopy6Row" hidden="1">[12]XREF!#REF!</definedName>
    <definedName name="XRefCopy7" localSheetId="14" hidden="1">#REF!</definedName>
    <definedName name="XRefCopy7" localSheetId="8" hidden="1">#REF!</definedName>
    <definedName name="XRefCopy7" localSheetId="6" hidden="1">#REF!</definedName>
    <definedName name="XRefCopy7" localSheetId="9" hidden="1">#REF!</definedName>
    <definedName name="XRefCopy7" localSheetId="16" hidden="1">#REF!</definedName>
    <definedName name="XRefCopy7" localSheetId="3" hidden="1">#REF!</definedName>
    <definedName name="XRefCopy7" localSheetId="12" hidden="1">#REF!</definedName>
    <definedName name="XRefCopy7" localSheetId="21" hidden="1">#REF!</definedName>
    <definedName name="XRefCopy7" localSheetId="10" hidden="1">#REF!</definedName>
    <definedName name="XRefCopy7" localSheetId="17" hidden="1">#REF!</definedName>
    <definedName name="XRefCopy7" hidden="1">#REF!</definedName>
    <definedName name="XRefCopy7Row" localSheetId="14" hidden="1">#REF!</definedName>
    <definedName name="XRefCopy7Row" localSheetId="8" hidden="1">#REF!</definedName>
    <definedName name="XRefCopy7Row" localSheetId="6" hidden="1">#REF!</definedName>
    <definedName name="XRefCopy7Row" localSheetId="9" hidden="1">#REF!</definedName>
    <definedName name="XRefCopy7Row" localSheetId="16" hidden="1">#REF!</definedName>
    <definedName name="XRefCopy7Row" localSheetId="3" hidden="1">#REF!</definedName>
    <definedName name="XRefCopy7Row" localSheetId="12" hidden="1">#REF!</definedName>
    <definedName name="XRefCopy7Row" localSheetId="21" hidden="1">#REF!</definedName>
    <definedName name="XRefCopy7Row" localSheetId="10" hidden="1">#REF!</definedName>
    <definedName name="XRefCopy7Row" localSheetId="17" hidden="1">#REF!</definedName>
    <definedName name="XRefCopy7Row" hidden="1">#REF!</definedName>
    <definedName name="XRefCopy8" localSheetId="14" hidden="1">#REF!</definedName>
    <definedName name="XRefCopy8" localSheetId="8" hidden="1">#REF!</definedName>
    <definedName name="XRefCopy8" localSheetId="6" hidden="1">#REF!</definedName>
    <definedName name="XRefCopy8" localSheetId="9" hidden="1">#REF!</definedName>
    <definedName name="XRefCopy8" localSheetId="16" hidden="1">#REF!</definedName>
    <definedName name="XRefCopy8" localSheetId="3" hidden="1">#REF!</definedName>
    <definedName name="XRefCopy8" localSheetId="12" hidden="1">#REF!</definedName>
    <definedName name="XRefCopy8" localSheetId="21" hidden="1">#REF!</definedName>
    <definedName name="XRefCopy8" localSheetId="10" hidden="1">#REF!</definedName>
    <definedName name="XRefCopy8" localSheetId="17" hidden="1">#REF!</definedName>
    <definedName name="XRefCopy8" hidden="1">#REF!</definedName>
    <definedName name="XRefCopy8Row" localSheetId="14" hidden="1">#REF!</definedName>
    <definedName name="XRefCopy8Row" localSheetId="8" hidden="1">#REF!</definedName>
    <definedName name="XRefCopy8Row" localSheetId="6" hidden="1">#REF!</definedName>
    <definedName name="XRefCopy8Row" localSheetId="9" hidden="1">#REF!</definedName>
    <definedName name="XRefCopy8Row" localSheetId="16" hidden="1">#REF!</definedName>
    <definedName name="XRefCopy8Row" localSheetId="3" hidden="1">#REF!</definedName>
    <definedName name="XRefCopy8Row" localSheetId="12" hidden="1">#REF!</definedName>
    <definedName name="XRefCopy8Row" localSheetId="21" hidden="1">#REF!</definedName>
    <definedName name="XRefCopy8Row" localSheetId="10" hidden="1">#REF!</definedName>
    <definedName name="XRefCopy8Row" localSheetId="17" hidden="1">#REF!</definedName>
    <definedName name="XRefCopy8Row" hidden="1">#REF!</definedName>
    <definedName name="XRefCopy9" localSheetId="14" hidden="1">#REF!</definedName>
    <definedName name="XRefCopy9" localSheetId="8" hidden="1">#REF!</definedName>
    <definedName name="XRefCopy9" localSheetId="6" hidden="1">#REF!</definedName>
    <definedName name="XRefCopy9" localSheetId="9" hidden="1">#REF!</definedName>
    <definedName name="XRefCopy9" localSheetId="16" hidden="1">#REF!</definedName>
    <definedName name="XRefCopy9" localSheetId="3" hidden="1">#REF!</definedName>
    <definedName name="XRefCopy9" localSheetId="12" hidden="1">#REF!</definedName>
    <definedName name="XRefCopy9" localSheetId="21" hidden="1">#REF!</definedName>
    <definedName name="XRefCopy9" localSheetId="10" hidden="1">#REF!</definedName>
    <definedName name="XRefCopy9" localSheetId="17" hidden="1">#REF!</definedName>
    <definedName name="XRefCopy9" hidden="1">#REF!</definedName>
    <definedName name="XRefCopy9Row" localSheetId="14" hidden="1">#REF!</definedName>
    <definedName name="XRefCopy9Row" localSheetId="8" hidden="1">#REF!</definedName>
    <definedName name="XRefCopy9Row" localSheetId="6" hidden="1">#REF!</definedName>
    <definedName name="XRefCopy9Row" localSheetId="9" hidden="1">#REF!</definedName>
    <definedName name="XRefCopy9Row" localSheetId="16" hidden="1">#REF!</definedName>
    <definedName name="XRefCopy9Row" localSheetId="3" hidden="1">#REF!</definedName>
    <definedName name="XRefCopy9Row" localSheetId="12" hidden="1">#REF!</definedName>
    <definedName name="XRefCopy9Row" localSheetId="21" hidden="1">#REF!</definedName>
    <definedName name="XRefCopy9Row" localSheetId="10" hidden="1">#REF!</definedName>
    <definedName name="XRefCopy9Row" localSheetId="17" hidden="1">#REF!</definedName>
    <definedName name="XRefCopy9Row" hidden="1">#REF!</definedName>
    <definedName name="XRefCopyRangeCount" hidden="1">1</definedName>
    <definedName name="XRefPaste1" localSheetId="14" hidden="1">#REF!</definedName>
    <definedName name="XRefPaste1" localSheetId="8" hidden="1">#REF!</definedName>
    <definedName name="XRefPaste1" localSheetId="6" hidden="1">#REF!</definedName>
    <definedName name="XRefPaste1" localSheetId="9" hidden="1">#REF!</definedName>
    <definedName name="XRefPaste1" localSheetId="16" hidden="1">#REF!</definedName>
    <definedName name="XRefPaste1" localSheetId="3" hidden="1">#REF!</definedName>
    <definedName name="XRefPaste1" localSheetId="12" hidden="1">#REF!</definedName>
    <definedName name="XRefPaste1" localSheetId="21" hidden="1">#REF!</definedName>
    <definedName name="XRefPaste1" localSheetId="10" hidden="1">#REF!</definedName>
    <definedName name="XRefPaste1" localSheetId="17" hidden="1">#REF!</definedName>
    <definedName name="XRefPaste1" hidden="1">#REF!</definedName>
    <definedName name="XRefPaste10" localSheetId="14" hidden="1">#REF!</definedName>
    <definedName name="XRefPaste10" localSheetId="8" hidden="1">#REF!</definedName>
    <definedName name="XRefPaste10" localSheetId="6" hidden="1">#REF!</definedName>
    <definedName name="XRefPaste10" localSheetId="9" hidden="1">#REF!</definedName>
    <definedName name="XRefPaste10" localSheetId="16" hidden="1">#REF!</definedName>
    <definedName name="XRefPaste10" localSheetId="3" hidden="1">#REF!</definedName>
    <definedName name="XRefPaste10" localSheetId="12" hidden="1">#REF!</definedName>
    <definedName name="XRefPaste10" localSheetId="21" hidden="1">#REF!</definedName>
    <definedName name="XRefPaste10" localSheetId="10" hidden="1">#REF!</definedName>
    <definedName name="XRefPaste10" localSheetId="17" hidden="1">#REF!</definedName>
    <definedName name="XRefPaste10" hidden="1">#REF!</definedName>
    <definedName name="XRefPaste10Row" localSheetId="14" hidden="1">#REF!</definedName>
    <definedName name="XRefPaste10Row" localSheetId="8" hidden="1">#REF!</definedName>
    <definedName name="XRefPaste10Row" localSheetId="6" hidden="1">#REF!</definedName>
    <definedName name="XRefPaste10Row" localSheetId="9" hidden="1">#REF!</definedName>
    <definedName name="XRefPaste10Row" localSheetId="16" hidden="1">#REF!</definedName>
    <definedName name="XRefPaste10Row" localSheetId="3" hidden="1">#REF!</definedName>
    <definedName name="XRefPaste10Row" localSheetId="12" hidden="1">#REF!</definedName>
    <definedName name="XRefPaste10Row" localSheetId="21" hidden="1">#REF!</definedName>
    <definedName name="XRefPaste10Row" localSheetId="10" hidden="1">#REF!</definedName>
    <definedName name="XRefPaste10Row" localSheetId="17" hidden="1">#REF!</definedName>
    <definedName name="XRefPaste10Row" hidden="1">#REF!</definedName>
    <definedName name="XRefPaste11" localSheetId="14" hidden="1">#REF!</definedName>
    <definedName name="XRefPaste11" localSheetId="8" hidden="1">#REF!</definedName>
    <definedName name="XRefPaste11" localSheetId="6" hidden="1">#REF!</definedName>
    <definedName name="XRefPaste11" localSheetId="9" hidden="1">#REF!</definedName>
    <definedName name="XRefPaste11" localSheetId="16" hidden="1">#REF!</definedName>
    <definedName name="XRefPaste11" localSheetId="3" hidden="1">#REF!</definedName>
    <definedName name="XRefPaste11" localSheetId="12" hidden="1">#REF!</definedName>
    <definedName name="XRefPaste11" localSheetId="21" hidden="1">#REF!</definedName>
    <definedName name="XRefPaste11" localSheetId="10" hidden="1">#REF!</definedName>
    <definedName name="XRefPaste11" localSheetId="17" hidden="1">#REF!</definedName>
    <definedName name="XRefPaste11" hidden="1">#REF!</definedName>
    <definedName name="XRefPaste11Row" localSheetId="14" hidden="1">#REF!</definedName>
    <definedName name="XRefPaste11Row" localSheetId="8" hidden="1">#REF!</definedName>
    <definedName name="XRefPaste11Row" localSheetId="6" hidden="1">#REF!</definedName>
    <definedName name="XRefPaste11Row" localSheetId="9" hidden="1">#REF!</definedName>
    <definedName name="XRefPaste11Row" localSheetId="16" hidden="1">#REF!</definedName>
    <definedName name="XRefPaste11Row" localSheetId="3" hidden="1">#REF!</definedName>
    <definedName name="XRefPaste11Row" localSheetId="12" hidden="1">#REF!</definedName>
    <definedName name="XRefPaste11Row" localSheetId="21" hidden="1">#REF!</definedName>
    <definedName name="XRefPaste11Row" localSheetId="10" hidden="1">#REF!</definedName>
    <definedName name="XRefPaste11Row" localSheetId="17" hidden="1">#REF!</definedName>
    <definedName name="XRefPaste11Row" hidden="1">#REF!</definedName>
    <definedName name="XRefPaste12" localSheetId="14" hidden="1">#REF!</definedName>
    <definedName name="XRefPaste12" localSheetId="8" hidden="1">#REF!</definedName>
    <definedName name="XRefPaste12" localSheetId="6" hidden="1">#REF!</definedName>
    <definedName name="XRefPaste12" localSheetId="9" hidden="1">#REF!</definedName>
    <definedName name="XRefPaste12" localSheetId="16" hidden="1">#REF!</definedName>
    <definedName name="XRefPaste12" localSheetId="3" hidden="1">#REF!</definedName>
    <definedName name="XRefPaste12" localSheetId="12" hidden="1">#REF!</definedName>
    <definedName name="XRefPaste12" localSheetId="21" hidden="1">#REF!</definedName>
    <definedName name="XRefPaste12" localSheetId="10" hidden="1">#REF!</definedName>
    <definedName name="XRefPaste12" localSheetId="17" hidden="1">#REF!</definedName>
    <definedName name="XRefPaste12" hidden="1">#REF!</definedName>
    <definedName name="XRefPaste12Row" localSheetId="14" hidden="1">#REF!</definedName>
    <definedName name="XRefPaste12Row" localSheetId="8" hidden="1">#REF!</definedName>
    <definedName name="XRefPaste12Row" localSheetId="6" hidden="1">#REF!</definedName>
    <definedName name="XRefPaste12Row" localSheetId="9" hidden="1">#REF!</definedName>
    <definedName name="XRefPaste12Row" localSheetId="16" hidden="1">#REF!</definedName>
    <definedName name="XRefPaste12Row" localSheetId="3" hidden="1">#REF!</definedName>
    <definedName name="XRefPaste12Row" localSheetId="12" hidden="1">#REF!</definedName>
    <definedName name="XRefPaste12Row" localSheetId="21" hidden="1">#REF!</definedName>
    <definedName name="XRefPaste12Row" localSheetId="10" hidden="1">#REF!</definedName>
    <definedName name="XRefPaste12Row" localSheetId="17" hidden="1">#REF!</definedName>
    <definedName name="XRefPaste12Row" hidden="1">#REF!</definedName>
    <definedName name="XRefPaste13" localSheetId="14" hidden="1">#REF!</definedName>
    <definedName name="XRefPaste13" localSheetId="8" hidden="1">#REF!</definedName>
    <definedName name="XRefPaste13" localSheetId="6" hidden="1">#REF!</definedName>
    <definedName name="XRefPaste13" localSheetId="9" hidden="1">#REF!</definedName>
    <definedName name="XRefPaste13" localSheetId="16" hidden="1">#REF!</definedName>
    <definedName name="XRefPaste13" localSheetId="3" hidden="1">#REF!</definedName>
    <definedName name="XRefPaste13" localSheetId="12" hidden="1">#REF!</definedName>
    <definedName name="XRefPaste13" localSheetId="21" hidden="1">#REF!</definedName>
    <definedName name="XRefPaste13" localSheetId="10" hidden="1">#REF!</definedName>
    <definedName name="XRefPaste13" localSheetId="17" hidden="1">#REF!</definedName>
    <definedName name="XRefPaste13" hidden="1">#REF!</definedName>
    <definedName name="XRefPaste13Row" localSheetId="14" hidden="1">#REF!</definedName>
    <definedName name="XRefPaste13Row" localSheetId="8" hidden="1">#REF!</definedName>
    <definedName name="XRefPaste13Row" localSheetId="6" hidden="1">#REF!</definedName>
    <definedName name="XRefPaste13Row" localSheetId="9" hidden="1">#REF!</definedName>
    <definedName name="XRefPaste13Row" localSheetId="16" hidden="1">#REF!</definedName>
    <definedName name="XRefPaste13Row" localSheetId="3" hidden="1">#REF!</definedName>
    <definedName name="XRefPaste13Row" localSheetId="12" hidden="1">#REF!</definedName>
    <definedName name="XRefPaste13Row" localSheetId="21" hidden="1">#REF!</definedName>
    <definedName name="XRefPaste13Row" localSheetId="10" hidden="1">#REF!</definedName>
    <definedName name="XRefPaste13Row" localSheetId="17" hidden="1">#REF!</definedName>
    <definedName name="XRefPaste13Row" hidden="1">#REF!</definedName>
    <definedName name="XRefPaste14" localSheetId="14" hidden="1">[11]Movimiento!#REF!</definedName>
    <definedName name="XRefPaste14" localSheetId="8" hidden="1">[11]Movimiento!#REF!</definedName>
    <definedName name="XRefPaste14" localSheetId="6" hidden="1">[11]Movimiento!#REF!</definedName>
    <definedName name="XRefPaste14" localSheetId="9" hidden="1">[11]Movimiento!#REF!</definedName>
    <definedName name="XRefPaste14" localSheetId="16" hidden="1">[11]Movimiento!#REF!</definedName>
    <definedName name="XRefPaste14" localSheetId="3" hidden="1">[11]Movimiento!#REF!</definedName>
    <definedName name="XRefPaste14" localSheetId="12" hidden="1">[11]Movimiento!#REF!</definedName>
    <definedName name="XRefPaste14" localSheetId="21" hidden="1">[11]Movimiento!#REF!</definedName>
    <definedName name="XRefPaste14" localSheetId="10" hidden="1">[11]Movimiento!#REF!</definedName>
    <definedName name="XRefPaste14" localSheetId="17" hidden="1">[11]Movimiento!#REF!</definedName>
    <definedName name="XRefPaste14" hidden="1">[11]Movimiento!#REF!</definedName>
    <definedName name="XRefPaste14Row" localSheetId="14" hidden="1">#REF!</definedName>
    <definedName name="XRefPaste14Row" localSheetId="8" hidden="1">#REF!</definedName>
    <definedName name="XRefPaste14Row" localSheetId="6" hidden="1">#REF!</definedName>
    <definedName name="XRefPaste14Row" localSheetId="9" hidden="1">#REF!</definedName>
    <definedName name="XRefPaste14Row" localSheetId="16" hidden="1">#REF!</definedName>
    <definedName name="XRefPaste14Row" localSheetId="3" hidden="1">#REF!</definedName>
    <definedName name="XRefPaste14Row" localSheetId="12" hidden="1">#REF!</definedName>
    <definedName name="XRefPaste14Row" localSheetId="21" hidden="1">#REF!</definedName>
    <definedName name="XRefPaste14Row" localSheetId="10" hidden="1">#REF!</definedName>
    <definedName name="XRefPaste14Row" localSheetId="17" hidden="1">#REF!</definedName>
    <definedName name="XRefPaste14Row" hidden="1">#REF!</definedName>
    <definedName name="XRefPaste15Row" localSheetId="14" hidden="1">#REF!</definedName>
    <definedName name="XRefPaste15Row" localSheetId="8" hidden="1">#REF!</definedName>
    <definedName name="XRefPaste15Row" localSheetId="6" hidden="1">#REF!</definedName>
    <definedName name="XRefPaste15Row" localSheetId="9" hidden="1">#REF!</definedName>
    <definedName name="XRefPaste15Row" localSheetId="16" hidden="1">#REF!</definedName>
    <definedName name="XRefPaste15Row" localSheetId="3" hidden="1">#REF!</definedName>
    <definedName name="XRefPaste15Row" localSheetId="12" hidden="1">#REF!</definedName>
    <definedName name="XRefPaste15Row" localSheetId="21" hidden="1">#REF!</definedName>
    <definedName name="XRefPaste15Row" localSheetId="10" hidden="1">#REF!</definedName>
    <definedName name="XRefPaste15Row" localSheetId="17" hidden="1">#REF!</definedName>
    <definedName name="XRefPaste15Row" hidden="1">#REF!</definedName>
    <definedName name="XRefPaste16" localSheetId="14" hidden="1">[11]Movimiento!#REF!</definedName>
    <definedName name="XRefPaste16" localSheetId="8" hidden="1">[11]Movimiento!#REF!</definedName>
    <definedName name="XRefPaste16" localSheetId="6" hidden="1">[11]Movimiento!#REF!</definedName>
    <definedName name="XRefPaste16" localSheetId="9" hidden="1">[11]Movimiento!#REF!</definedName>
    <definedName name="XRefPaste16" localSheetId="16" hidden="1">[11]Movimiento!#REF!</definedName>
    <definedName name="XRefPaste16" localSheetId="3" hidden="1">[11]Movimiento!#REF!</definedName>
    <definedName name="XRefPaste16" localSheetId="12" hidden="1">[11]Movimiento!#REF!</definedName>
    <definedName name="XRefPaste16" localSheetId="21" hidden="1">[11]Movimiento!#REF!</definedName>
    <definedName name="XRefPaste16" localSheetId="10" hidden="1">[11]Movimiento!#REF!</definedName>
    <definedName name="XRefPaste16" localSheetId="17" hidden="1">[11]Movimiento!#REF!</definedName>
    <definedName name="XRefPaste16" hidden="1">[11]Movimiento!#REF!</definedName>
    <definedName name="XRefPaste16Row" localSheetId="14" hidden="1">#REF!</definedName>
    <definedName name="XRefPaste16Row" localSheetId="8" hidden="1">#REF!</definedName>
    <definedName name="XRefPaste16Row" localSheetId="6" hidden="1">#REF!</definedName>
    <definedName name="XRefPaste16Row" localSheetId="9" hidden="1">#REF!</definedName>
    <definedName name="XRefPaste16Row" localSheetId="16" hidden="1">#REF!</definedName>
    <definedName name="XRefPaste16Row" localSheetId="3" hidden="1">#REF!</definedName>
    <definedName name="XRefPaste16Row" localSheetId="12" hidden="1">#REF!</definedName>
    <definedName name="XRefPaste16Row" localSheetId="21" hidden="1">#REF!</definedName>
    <definedName name="XRefPaste16Row" localSheetId="10" hidden="1">#REF!</definedName>
    <definedName name="XRefPaste16Row" localSheetId="17" hidden="1">#REF!</definedName>
    <definedName name="XRefPaste16Row" hidden="1">#REF!</definedName>
    <definedName name="XRefPaste17" localSheetId="14" hidden="1">[11]Movimiento!#REF!</definedName>
    <definedName name="XRefPaste17" localSheetId="8" hidden="1">[11]Movimiento!#REF!</definedName>
    <definedName name="XRefPaste17" localSheetId="6" hidden="1">[11]Movimiento!#REF!</definedName>
    <definedName name="XRefPaste17" localSheetId="9" hidden="1">[11]Movimiento!#REF!</definedName>
    <definedName name="XRefPaste17" localSheetId="16" hidden="1">[11]Movimiento!#REF!</definedName>
    <definedName name="XRefPaste17" localSheetId="3" hidden="1">[11]Movimiento!#REF!</definedName>
    <definedName name="XRefPaste17" localSheetId="12" hidden="1">[11]Movimiento!#REF!</definedName>
    <definedName name="XRefPaste17" localSheetId="21" hidden="1">[11]Movimiento!#REF!</definedName>
    <definedName name="XRefPaste17" localSheetId="10" hidden="1">[11]Movimiento!#REF!</definedName>
    <definedName name="XRefPaste17" localSheetId="17" hidden="1">[11]Movimiento!#REF!</definedName>
    <definedName name="XRefPaste17" hidden="1">[11]Movimiento!#REF!</definedName>
    <definedName name="XRefPaste17Row" localSheetId="14" hidden="1">#REF!</definedName>
    <definedName name="XRefPaste17Row" localSheetId="8" hidden="1">#REF!</definedName>
    <definedName name="XRefPaste17Row" localSheetId="6" hidden="1">#REF!</definedName>
    <definedName name="XRefPaste17Row" localSheetId="9" hidden="1">#REF!</definedName>
    <definedName name="XRefPaste17Row" localSheetId="16" hidden="1">#REF!</definedName>
    <definedName name="XRefPaste17Row" localSheetId="3" hidden="1">#REF!</definedName>
    <definedName name="XRefPaste17Row" localSheetId="12" hidden="1">#REF!</definedName>
    <definedName name="XRefPaste17Row" localSheetId="21" hidden="1">#REF!</definedName>
    <definedName name="XRefPaste17Row" localSheetId="10" hidden="1">#REF!</definedName>
    <definedName name="XRefPaste17Row" localSheetId="17" hidden="1">#REF!</definedName>
    <definedName name="XRefPaste17Row" hidden="1">#REF!</definedName>
    <definedName name="XRefPaste18" localSheetId="14" hidden="1">[11]Movimiento!#REF!</definedName>
    <definedName name="XRefPaste18" localSheetId="8" hidden="1">[11]Movimiento!#REF!</definedName>
    <definedName name="XRefPaste18" localSheetId="6" hidden="1">[11]Movimiento!#REF!</definedName>
    <definedName name="XRefPaste18" localSheetId="9" hidden="1">[11]Movimiento!#REF!</definedName>
    <definedName name="XRefPaste18" localSheetId="16" hidden="1">[11]Movimiento!#REF!</definedName>
    <definedName name="XRefPaste18" localSheetId="3" hidden="1">[11]Movimiento!#REF!</definedName>
    <definedName name="XRefPaste18" localSheetId="12" hidden="1">[11]Movimiento!#REF!</definedName>
    <definedName name="XRefPaste18" localSheetId="21" hidden="1">[11]Movimiento!#REF!</definedName>
    <definedName name="XRefPaste18" localSheetId="10" hidden="1">[11]Movimiento!#REF!</definedName>
    <definedName name="XRefPaste18" localSheetId="17" hidden="1">[11]Movimiento!#REF!</definedName>
    <definedName name="XRefPaste18" hidden="1">[11]Movimiento!#REF!</definedName>
    <definedName name="XRefPaste18Row" localSheetId="14" hidden="1">#REF!</definedName>
    <definedName name="XRefPaste18Row" localSheetId="8" hidden="1">#REF!</definedName>
    <definedName name="XRefPaste18Row" localSheetId="6" hidden="1">#REF!</definedName>
    <definedName name="XRefPaste18Row" localSheetId="9" hidden="1">#REF!</definedName>
    <definedName name="XRefPaste18Row" localSheetId="16" hidden="1">#REF!</definedName>
    <definedName name="XRefPaste18Row" localSheetId="3" hidden="1">#REF!</definedName>
    <definedName name="XRefPaste18Row" localSheetId="12" hidden="1">#REF!</definedName>
    <definedName name="XRefPaste18Row" localSheetId="21" hidden="1">#REF!</definedName>
    <definedName name="XRefPaste18Row" localSheetId="10" hidden="1">#REF!</definedName>
    <definedName name="XRefPaste18Row" localSheetId="17" hidden="1">#REF!</definedName>
    <definedName name="XRefPaste18Row" hidden="1">#REF!</definedName>
    <definedName name="XRefPaste19" localSheetId="14" hidden="1">[11]Movimiento!#REF!</definedName>
    <definedName name="XRefPaste19" localSheetId="8" hidden="1">[11]Movimiento!#REF!</definedName>
    <definedName name="XRefPaste19" localSheetId="6" hidden="1">[11]Movimiento!#REF!</definedName>
    <definedName name="XRefPaste19" localSheetId="9" hidden="1">[11]Movimiento!#REF!</definedName>
    <definedName name="XRefPaste19" localSheetId="16" hidden="1">[11]Movimiento!#REF!</definedName>
    <definedName name="XRefPaste19" localSheetId="3" hidden="1">[11]Movimiento!#REF!</definedName>
    <definedName name="XRefPaste19" localSheetId="12" hidden="1">[11]Movimiento!#REF!</definedName>
    <definedName name="XRefPaste19" localSheetId="21" hidden="1">[11]Movimiento!#REF!</definedName>
    <definedName name="XRefPaste19" localSheetId="10" hidden="1">[11]Movimiento!#REF!</definedName>
    <definedName name="XRefPaste19" localSheetId="17" hidden="1">[11]Movimiento!#REF!</definedName>
    <definedName name="XRefPaste19" hidden="1">[11]Movimiento!#REF!</definedName>
    <definedName name="XRefPaste19Row" localSheetId="14" hidden="1">#REF!</definedName>
    <definedName name="XRefPaste19Row" localSheetId="8" hidden="1">#REF!</definedName>
    <definedName name="XRefPaste19Row" localSheetId="6" hidden="1">#REF!</definedName>
    <definedName name="XRefPaste19Row" localSheetId="9" hidden="1">#REF!</definedName>
    <definedName name="XRefPaste19Row" localSheetId="16" hidden="1">#REF!</definedName>
    <definedName name="XRefPaste19Row" localSheetId="3" hidden="1">#REF!</definedName>
    <definedName name="XRefPaste19Row" localSheetId="12" hidden="1">#REF!</definedName>
    <definedName name="XRefPaste19Row" localSheetId="21" hidden="1">#REF!</definedName>
    <definedName name="XRefPaste19Row" localSheetId="10" hidden="1">#REF!</definedName>
    <definedName name="XRefPaste19Row" localSheetId="17" hidden="1">#REF!</definedName>
    <definedName name="XRefPaste19Row" hidden="1">#REF!</definedName>
    <definedName name="XRefPaste1Row" localSheetId="14" hidden="1">#REF!</definedName>
    <definedName name="XRefPaste1Row" localSheetId="8" hidden="1">#REF!</definedName>
    <definedName name="XRefPaste1Row" localSheetId="6" hidden="1">#REF!</definedName>
    <definedName name="XRefPaste1Row" localSheetId="9" hidden="1">#REF!</definedName>
    <definedName name="XRefPaste1Row" localSheetId="16" hidden="1">#REF!</definedName>
    <definedName name="XRefPaste1Row" localSheetId="3" hidden="1">#REF!</definedName>
    <definedName name="XRefPaste1Row" localSheetId="12" hidden="1">#REF!</definedName>
    <definedName name="XRefPaste1Row" localSheetId="21" hidden="1">#REF!</definedName>
    <definedName name="XRefPaste1Row" localSheetId="10" hidden="1">#REF!</definedName>
    <definedName name="XRefPaste1Row" localSheetId="17" hidden="1">#REF!</definedName>
    <definedName name="XRefPaste1Row" hidden="1">#REF!</definedName>
    <definedName name="XRefPaste2" localSheetId="14" hidden="1">#REF!</definedName>
    <definedName name="XRefPaste2" localSheetId="8" hidden="1">#REF!</definedName>
    <definedName name="XRefPaste2" localSheetId="6" hidden="1">#REF!</definedName>
    <definedName name="XRefPaste2" localSheetId="9" hidden="1">#REF!</definedName>
    <definedName name="XRefPaste2" localSheetId="16" hidden="1">#REF!</definedName>
    <definedName name="XRefPaste2" localSheetId="3" hidden="1">#REF!</definedName>
    <definedName name="XRefPaste2" localSheetId="12" hidden="1">#REF!</definedName>
    <definedName name="XRefPaste2" localSheetId="21" hidden="1">#REF!</definedName>
    <definedName name="XRefPaste2" localSheetId="10" hidden="1">#REF!</definedName>
    <definedName name="XRefPaste2" localSheetId="17" hidden="1">#REF!</definedName>
    <definedName name="XRefPaste2" hidden="1">#REF!</definedName>
    <definedName name="XRefPaste20" localSheetId="14" hidden="1">[11]Movimiento!#REF!</definedName>
    <definedName name="XRefPaste20" localSheetId="8" hidden="1">[11]Movimiento!#REF!</definedName>
    <definedName name="XRefPaste20" localSheetId="6" hidden="1">[11]Movimiento!#REF!</definedName>
    <definedName name="XRefPaste20" localSheetId="9" hidden="1">[11]Movimiento!#REF!</definedName>
    <definedName name="XRefPaste20" localSheetId="16" hidden="1">[11]Movimiento!#REF!</definedName>
    <definedName name="XRefPaste20" localSheetId="3" hidden="1">[11]Movimiento!#REF!</definedName>
    <definedName name="XRefPaste20" localSheetId="12" hidden="1">[11]Movimiento!#REF!</definedName>
    <definedName name="XRefPaste20" localSheetId="21" hidden="1">[11]Movimiento!#REF!</definedName>
    <definedName name="XRefPaste20" localSheetId="10" hidden="1">[11]Movimiento!#REF!</definedName>
    <definedName name="XRefPaste20" localSheetId="17" hidden="1">[11]Movimiento!#REF!</definedName>
    <definedName name="XRefPaste20" hidden="1">[11]Movimiento!#REF!</definedName>
    <definedName name="XRefPaste20Row" localSheetId="14" hidden="1">#REF!</definedName>
    <definedName name="XRefPaste20Row" localSheetId="8" hidden="1">#REF!</definedName>
    <definedName name="XRefPaste20Row" localSheetId="6" hidden="1">#REF!</definedName>
    <definedName name="XRefPaste20Row" localSheetId="9" hidden="1">#REF!</definedName>
    <definedName name="XRefPaste20Row" localSheetId="16" hidden="1">#REF!</definedName>
    <definedName name="XRefPaste20Row" localSheetId="3" hidden="1">#REF!</definedName>
    <definedName name="XRefPaste20Row" localSheetId="12" hidden="1">#REF!</definedName>
    <definedName name="XRefPaste20Row" localSheetId="21" hidden="1">#REF!</definedName>
    <definedName name="XRefPaste20Row" localSheetId="10" hidden="1">#REF!</definedName>
    <definedName name="XRefPaste20Row" localSheetId="17" hidden="1">#REF!</definedName>
    <definedName name="XRefPaste20Row" hidden="1">#REF!</definedName>
    <definedName name="XRefPaste21Row" localSheetId="14" hidden="1">#REF!</definedName>
    <definedName name="XRefPaste21Row" localSheetId="8" hidden="1">#REF!</definedName>
    <definedName name="XRefPaste21Row" localSheetId="6" hidden="1">#REF!</definedName>
    <definedName name="XRefPaste21Row" localSheetId="9" hidden="1">#REF!</definedName>
    <definedName name="XRefPaste21Row" localSheetId="16" hidden="1">#REF!</definedName>
    <definedName name="XRefPaste21Row" localSheetId="3" hidden="1">#REF!</definedName>
    <definedName name="XRefPaste21Row" localSheetId="12" hidden="1">#REF!</definedName>
    <definedName name="XRefPaste21Row" localSheetId="21" hidden="1">#REF!</definedName>
    <definedName name="XRefPaste21Row" localSheetId="10" hidden="1">#REF!</definedName>
    <definedName name="XRefPaste21Row" localSheetId="17" hidden="1">#REF!</definedName>
    <definedName name="XRefPaste21Row" hidden="1">#REF!</definedName>
    <definedName name="XRefPaste22" localSheetId="14" hidden="1">#REF!</definedName>
    <definedName name="XRefPaste22" localSheetId="8" hidden="1">#REF!</definedName>
    <definedName name="XRefPaste22" localSheetId="6" hidden="1">#REF!</definedName>
    <definedName name="XRefPaste22" localSheetId="9" hidden="1">#REF!</definedName>
    <definedName name="XRefPaste22" localSheetId="16" hidden="1">#REF!</definedName>
    <definedName name="XRefPaste22" localSheetId="3" hidden="1">#REF!</definedName>
    <definedName name="XRefPaste22" localSheetId="12" hidden="1">#REF!</definedName>
    <definedName name="XRefPaste22" localSheetId="21" hidden="1">#REF!</definedName>
    <definedName name="XRefPaste22" localSheetId="10" hidden="1">#REF!</definedName>
    <definedName name="XRefPaste22" localSheetId="17" hidden="1">#REF!</definedName>
    <definedName name="XRefPaste22" hidden="1">#REF!</definedName>
    <definedName name="XRefPaste22Row" localSheetId="14" hidden="1">#REF!</definedName>
    <definedName name="XRefPaste22Row" localSheetId="8" hidden="1">#REF!</definedName>
    <definedName name="XRefPaste22Row" localSheetId="6" hidden="1">#REF!</definedName>
    <definedName name="XRefPaste22Row" localSheetId="9" hidden="1">#REF!</definedName>
    <definedName name="XRefPaste22Row" localSheetId="16" hidden="1">#REF!</definedName>
    <definedName name="XRefPaste22Row" localSheetId="3" hidden="1">#REF!</definedName>
    <definedName name="XRefPaste22Row" localSheetId="12" hidden="1">#REF!</definedName>
    <definedName name="XRefPaste22Row" localSheetId="21" hidden="1">#REF!</definedName>
    <definedName name="XRefPaste22Row" localSheetId="10" hidden="1">#REF!</definedName>
    <definedName name="XRefPaste22Row" localSheetId="17" hidden="1">#REF!</definedName>
    <definedName name="XRefPaste22Row" hidden="1">#REF!</definedName>
    <definedName name="XRefPaste23" localSheetId="14" hidden="1">#REF!</definedName>
    <definedName name="XRefPaste23" localSheetId="8" hidden="1">#REF!</definedName>
    <definedName name="XRefPaste23" localSheetId="6" hidden="1">#REF!</definedName>
    <definedName name="XRefPaste23" localSheetId="9" hidden="1">#REF!</definedName>
    <definedName name="XRefPaste23" localSheetId="16" hidden="1">#REF!</definedName>
    <definedName name="XRefPaste23" localSheetId="3" hidden="1">#REF!</definedName>
    <definedName name="XRefPaste23" localSheetId="12" hidden="1">#REF!</definedName>
    <definedName name="XRefPaste23" localSheetId="21" hidden="1">#REF!</definedName>
    <definedName name="XRefPaste23" localSheetId="10" hidden="1">#REF!</definedName>
    <definedName name="XRefPaste23" localSheetId="17" hidden="1">#REF!</definedName>
    <definedName name="XRefPaste23" hidden="1">#REF!</definedName>
    <definedName name="XRefPaste23Row" localSheetId="14" hidden="1">#REF!</definedName>
    <definedName name="XRefPaste23Row" localSheetId="8" hidden="1">#REF!</definedName>
    <definedName name="XRefPaste23Row" localSheetId="6" hidden="1">#REF!</definedName>
    <definedName name="XRefPaste23Row" localSheetId="9" hidden="1">#REF!</definedName>
    <definedName name="XRefPaste23Row" localSheetId="16" hidden="1">#REF!</definedName>
    <definedName name="XRefPaste23Row" localSheetId="3" hidden="1">#REF!</definedName>
    <definedName name="XRefPaste23Row" localSheetId="12" hidden="1">#REF!</definedName>
    <definedName name="XRefPaste23Row" localSheetId="21" hidden="1">#REF!</definedName>
    <definedName name="XRefPaste23Row" localSheetId="10" hidden="1">#REF!</definedName>
    <definedName name="XRefPaste23Row" localSheetId="17" hidden="1">#REF!</definedName>
    <definedName name="XRefPaste23Row" hidden="1">#REF!</definedName>
    <definedName name="XRefPaste24Row" localSheetId="14" hidden="1">#REF!</definedName>
    <definedName name="XRefPaste24Row" localSheetId="8" hidden="1">#REF!</definedName>
    <definedName name="XRefPaste24Row" localSheetId="6" hidden="1">#REF!</definedName>
    <definedName name="XRefPaste24Row" localSheetId="9" hidden="1">#REF!</definedName>
    <definedName name="XRefPaste24Row" localSheetId="16" hidden="1">#REF!</definedName>
    <definedName name="XRefPaste24Row" localSheetId="3" hidden="1">#REF!</definedName>
    <definedName name="XRefPaste24Row" localSheetId="12" hidden="1">#REF!</definedName>
    <definedName name="XRefPaste24Row" localSheetId="21" hidden="1">#REF!</definedName>
    <definedName name="XRefPaste24Row" localSheetId="10" hidden="1">#REF!</definedName>
    <definedName name="XRefPaste24Row" localSheetId="17" hidden="1">#REF!</definedName>
    <definedName name="XRefPaste24Row" hidden="1">#REF!</definedName>
    <definedName name="XRefPaste25Row" localSheetId="14" hidden="1">#REF!</definedName>
    <definedName name="XRefPaste25Row" localSheetId="8" hidden="1">#REF!</definedName>
    <definedName name="XRefPaste25Row" localSheetId="6" hidden="1">#REF!</definedName>
    <definedName name="XRefPaste25Row" localSheetId="9" hidden="1">#REF!</definedName>
    <definedName name="XRefPaste25Row" localSheetId="16" hidden="1">#REF!</definedName>
    <definedName name="XRefPaste25Row" localSheetId="3" hidden="1">#REF!</definedName>
    <definedName name="XRefPaste25Row" localSheetId="12" hidden="1">#REF!</definedName>
    <definedName name="XRefPaste25Row" localSheetId="21" hidden="1">#REF!</definedName>
    <definedName name="XRefPaste25Row" localSheetId="10" hidden="1">#REF!</definedName>
    <definedName name="XRefPaste25Row" localSheetId="17" hidden="1">#REF!</definedName>
    <definedName name="XRefPaste25Row" hidden="1">#REF!</definedName>
    <definedName name="XRefPaste26" localSheetId="14" hidden="1">#REF!</definedName>
    <definedName name="XRefPaste26" localSheetId="8" hidden="1">#REF!</definedName>
    <definedName name="XRefPaste26" localSheetId="6" hidden="1">#REF!</definedName>
    <definedName name="XRefPaste26" localSheetId="9" hidden="1">#REF!</definedName>
    <definedName name="XRefPaste26" localSheetId="16" hidden="1">#REF!</definedName>
    <definedName name="XRefPaste26" localSheetId="3" hidden="1">#REF!</definedName>
    <definedName name="XRefPaste26" localSheetId="12" hidden="1">#REF!</definedName>
    <definedName name="XRefPaste26" localSheetId="21" hidden="1">#REF!</definedName>
    <definedName name="XRefPaste26" localSheetId="10" hidden="1">#REF!</definedName>
    <definedName name="XRefPaste26" localSheetId="17" hidden="1">#REF!</definedName>
    <definedName name="XRefPaste26" hidden="1">#REF!</definedName>
    <definedName name="XRefPaste26Row" localSheetId="14" hidden="1">#REF!</definedName>
    <definedName name="XRefPaste26Row" localSheetId="8" hidden="1">#REF!</definedName>
    <definedName name="XRefPaste26Row" localSheetId="6" hidden="1">#REF!</definedName>
    <definedName name="XRefPaste26Row" localSheetId="9" hidden="1">#REF!</definedName>
    <definedName name="XRefPaste26Row" localSheetId="16" hidden="1">#REF!</definedName>
    <definedName name="XRefPaste26Row" localSheetId="3" hidden="1">#REF!</definedName>
    <definedName name="XRefPaste26Row" localSheetId="12" hidden="1">#REF!</definedName>
    <definedName name="XRefPaste26Row" localSheetId="21" hidden="1">#REF!</definedName>
    <definedName name="XRefPaste26Row" localSheetId="10" hidden="1">#REF!</definedName>
    <definedName name="XRefPaste26Row" localSheetId="17" hidden="1">#REF!</definedName>
    <definedName name="XRefPaste26Row" hidden="1">#REF!</definedName>
    <definedName name="XRefPaste27Row" localSheetId="14" hidden="1">#REF!</definedName>
    <definedName name="XRefPaste27Row" localSheetId="8" hidden="1">#REF!</definedName>
    <definedName name="XRefPaste27Row" localSheetId="6" hidden="1">#REF!</definedName>
    <definedName name="XRefPaste27Row" localSheetId="9" hidden="1">#REF!</definedName>
    <definedName name="XRefPaste27Row" localSheetId="16" hidden="1">#REF!</definedName>
    <definedName name="XRefPaste27Row" localSheetId="3" hidden="1">#REF!</definedName>
    <definedName name="XRefPaste27Row" localSheetId="12" hidden="1">#REF!</definedName>
    <definedName name="XRefPaste27Row" localSheetId="21" hidden="1">#REF!</definedName>
    <definedName name="XRefPaste27Row" localSheetId="10" hidden="1">#REF!</definedName>
    <definedName name="XRefPaste27Row" localSheetId="17" hidden="1">#REF!</definedName>
    <definedName name="XRefPaste27Row" hidden="1">#REF!</definedName>
    <definedName name="XRefPaste2Row" localSheetId="14" hidden="1">#REF!</definedName>
    <definedName name="XRefPaste2Row" localSheetId="8" hidden="1">#REF!</definedName>
    <definedName name="XRefPaste2Row" localSheetId="6" hidden="1">#REF!</definedName>
    <definedName name="XRefPaste2Row" localSheetId="9" hidden="1">#REF!</definedName>
    <definedName name="XRefPaste2Row" localSheetId="16" hidden="1">#REF!</definedName>
    <definedName name="XRefPaste2Row" localSheetId="3" hidden="1">#REF!</definedName>
    <definedName name="XRefPaste2Row" localSheetId="12" hidden="1">#REF!</definedName>
    <definedName name="XRefPaste2Row" localSheetId="21" hidden="1">#REF!</definedName>
    <definedName name="XRefPaste2Row" localSheetId="10" hidden="1">#REF!</definedName>
    <definedName name="XRefPaste2Row" localSheetId="17" hidden="1">#REF!</definedName>
    <definedName name="XRefPaste2Row" hidden="1">#REF!</definedName>
    <definedName name="XRefPaste3" localSheetId="14" hidden="1">#REF!</definedName>
    <definedName name="XRefPaste3" localSheetId="8" hidden="1">#REF!</definedName>
    <definedName name="XRefPaste3" localSheetId="6" hidden="1">#REF!</definedName>
    <definedName name="XRefPaste3" localSheetId="9" hidden="1">#REF!</definedName>
    <definedName name="XRefPaste3" localSheetId="16" hidden="1">#REF!</definedName>
    <definedName name="XRefPaste3" localSheetId="3" hidden="1">#REF!</definedName>
    <definedName name="XRefPaste3" localSheetId="12" hidden="1">#REF!</definedName>
    <definedName name="XRefPaste3" localSheetId="21" hidden="1">#REF!</definedName>
    <definedName name="XRefPaste3" localSheetId="10" hidden="1">#REF!</definedName>
    <definedName name="XRefPaste3" localSheetId="17" hidden="1">#REF!</definedName>
    <definedName name="XRefPaste3" hidden="1">#REF!</definedName>
    <definedName name="XRefPaste32" localSheetId="14" hidden="1">#REF!</definedName>
    <definedName name="XRefPaste32" localSheetId="8" hidden="1">#REF!</definedName>
    <definedName name="XRefPaste32" localSheetId="6" hidden="1">#REF!</definedName>
    <definedName name="XRefPaste32" localSheetId="9" hidden="1">#REF!</definedName>
    <definedName name="XRefPaste32" localSheetId="16" hidden="1">#REF!</definedName>
    <definedName name="XRefPaste32" localSheetId="3" hidden="1">#REF!</definedName>
    <definedName name="XRefPaste32" localSheetId="12" hidden="1">#REF!</definedName>
    <definedName name="XRefPaste32" localSheetId="21" hidden="1">#REF!</definedName>
    <definedName name="XRefPaste32" localSheetId="10" hidden="1">#REF!</definedName>
    <definedName name="XRefPaste32" localSheetId="17" hidden="1">#REF!</definedName>
    <definedName name="XRefPaste32" hidden="1">#REF!</definedName>
    <definedName name="XRefPaste33" localSheetId="14" hidden="1">#REF!</definedName>
    <definedName name="XRefPaste33" localSheetId="8" hidden="1">#REF!</definedName>
    <definedName name="XRefPaste33" localSheetId="6" hidden="1">#REF!</definedName>
    <definedName name="XRefPaste33" localSheetId="9" hidden="1">#REF!</definedName>
    <definedName name="XRefPaste33" localSheetId="16" hidden="1">#REF!</definedName>
    <definedName name="XRefPaste33" localSheetId="3" hidden="1">#REF!</definedName>
    <definedName name="XRefPaste33" localSheetId="12" hidden="1">#REF!</definedName>
    <definedName name="XRefPaste33" localSheetId="21" hidden="1">#REF!</definedName>
    <definedName name="XRefPaste33" localSheetId="10" hidden="1">#REF!</definedName>
    <definedName name="XRefPaste33" localSheetId="17" hidden="1">#REF!</definedName>
    <definedName name="XRefPaste33" hidden="1">#REF!</definedName>
    <definedName name="XRefPaste34" localSheetId="14" hidden="1">#REF!</definedName>
    <definedName name="XRefPaste34" localSheetId="8" hidden="1">#REF!</definedName>
    <definedName name="XRefPaste34" localSheetId="6" hidden="1">#REF!</definedName>
    <definedName name="XRefPaste34" localSheetId="9" hidden="1">#REF!</definedName>
    <definedName name="XRefPaste34" localSheetId="16" hidden="1">#REF!</definedName>
    <definedName name="XRefPaste34" localSheetId="3" hidden="1">#REF!</definedName>
    <definedName name="XRefPaste34" localSheetId="12" hidden="1">#REF!</definedName>
    <definedName name="XRefPaste34" localSheetId="21" hidden="1">#REF!</definedName>
    <definedName name="XRefPaste34" localSheetId="10" hidden="1">#REF!</definedName>
    <definedName name="XRefPaste34" localSheetId="17" hidden="1">#REF!</definedName>
    <definedName name="XRefPaste34" hidden="1">#REF!</definedName>
    <definedName name="XRefPaste3Row" localSheetId="14" hidden="1">#REF!</definedName>
    <definedName name="XRefPaste3Row" localSheetId="8" hidden="1">#REF!</definedName>
    <definedName name="XRefPaste3Row" localSheetId="6" hidden="1">#REF!</definedName>
    <definedName name="XRefPaste3Row" localSheetId="9" hidden="1">#REF!</definedName>
    <definedName name="XRefPaste3Row" localSheetId="16" hidden="1">#REF!</definedName>
    <definedName name="XRefPaste3Row" localSheetId="3" hidden="1">#REF!</definedName>
    <definedName name="XRefPaste3Row" localSheetId="12" hidden="1">#REF!</definedName>
    <definedName name="XRefPaste3Row" localSheetId="21" hidden="1">#REF!</definedName>
    <definedName name="XRefPaste3Row" localSheetId="10" hidden="1">#REF!</definedName>
    <definedName name="XRefPaste3Row" localSheetId="17" hidden="1">#REF!</definedName>
    <definedName name="XRefPaste3Row" hidden="1">#REF!</definedName>
    <definedName name="XRefPaste4" localSheetId="14" hidden="1">#REF!</definedName>
    <definedName name="XRefPaste4" localSheetId="8" hidden="1">#REF!</definedName>
    <definedName name="XRefPaste4" localSheetId="6" hidden="1">#REF!</definedName>
    <definedName name="XRefPaste4" localSheetId="9" hidden="1">#REF!</definedName>
    <definedName name="XRefPaste4" localSheetId="16" hidden="1">#REF!</definedName>
    <definedName name="XRefPaste4" localSheetId="3" hidden="1">#REF!</definedName>
    <definedName name="XRefPaste4" localSheetId="12" hidden="1">#REF!</definedName>
    <definedName name="XRefPaste4" localSheetId="21" hidden="1">#REF!</definedName>
    <definedName name="XRefPaste4" localSheetId="10" hidden="1">#REF!</definedName>
    <definedName name="XRefPaste4" localSheetId="17" hidden="1">#REF!</definedName>
    <definedName name="XRefPaste4" hidden="1">#REF!</definedName>
    <definedName name="XRefPaste41" localSheetId="14" hidden="1">#REF!</definedName>
    <definedName name="XRefPaste41" localSheetId="8" hidden="1">#REF!</definedName>
    <definedName name="XRefPaste41" localSheetId="6" hidden="1">#REF!</definedName>
    <definedName name="XRefPaste41" localSheetId="9" hidden="1">#REF!</definedName>
    <definedName name="XRefPaste41" localSheetId="16" hidden="1">#REF!</definedName>
    <definedName name="XRefPaste41" localSheetId="3" hidden="1">#REF!</definedName>
    <definedName name="XRefPaste41" localSheetId="12" hidden="1">#REF!</definedName>
    <definedName name="XRefPaste41" localSheetId="21" hidden="1">#REF!</definedName>
    <definedName name="XRefPaste41" localSheetId="10" hidden="1">#REF!</definedName>
    <definedName name="XRefPaste41" localSheetId="17" hidden="1">#REF!</definedName>
    <definedName name="XRefPaste41" hidden="1">#REF!</definedName>
    <definedName name="XRefPaste41Row" localSheetId="14" hidden="1">#REF!</definedName>
    <definedName name="XRefPaste41Row" localSheetId="8" hidden="1">#REF!</definedName>
    <definedName name="XRefPaste41Row" localSheetId="6" hidden="1">#REF!</definedName>
    <definedName name="XRefPaste41Row" localSheetId="9" hidden="1">#REF!</definedName>
    <definedName name="XRefPaste41Row" localSheetId="16" hidden="1">#REF!</definedName>
    <definedName name="XRefPaste41Row" localSheetId="3" hidden="1">#REF!</definedName>
    <definedName name="XRefPaste41Row" localSheetId="12" hidden="1">#REF!</definedName>
    <definedName name="XRefPaste41Row" localSheetId="21" hidden="1">#REF!</definedName>
    <definedName name="XRefPaste41Row" localSheetId="10" hidden="1">#REF!</definedName>
    <definedName name="XRefPaste41Row" localSheetId="17" hidden="1">#REF!</definedName>
    <definedName name="XRefPaste41Row" hidden="1">#REF!</definedName>
    <definedName name="XRefPaste42Row" localSheetId="14" hidden="1">#REF!</definedName>
    <definedName name="XRefPaste42Row" localSheetId="8" hidden="1">#REF!</definedName>
    <definedName name="XRefPaste42Row" localSheetId="6" hidden="1">#REF!</definedName>
    <definedName name="XRefPaste42Row" localSheetId="9" hidden="1">#REF!</definedName>
    <definedName name="XRefPaste42Row" localSheetId="16" hidden="1">#REF!</definedName>
    <definedName name="XRefPaste42Row" localSheetId="3" hidden="1">#REF!</definedName>
    <definedName name="XRefPaste42Row" localSheetId="12" hidden="1">#REF!</definedName>
    <definedName name="XRefPaste42Row" localSheetId="21" hidden="1">#REF!</definedName>
    <definedName name="XRefPaste42Row" localSheetId="10" hidden="1">#REF!</definedName>
    <definedName name="XRefPaste42Row" localSheetId="17" hidden="1">#REF!</definedName>
    <definedName name="XRefPaste42Row" hidden="1">#REF!</definedName>
    <definedName name="XRefPaste43Row" localSheetId="14" hidden="1">#REF!</definedName>
    <definedName name="XRefPaste43Row" localSheetId="8" hidden="1">#REF!</definedName>
    <definedName name="XRefPaste43Row" localSheetId="6" hidden="1">#REF!</definedName>
    <definedName name="XRefPaste43Row" localSheetId="9" hidden="1">#REF!</definedName>
    <definedName name="XRefPaste43Row" localSheetId="16" hidden="1">#REF!</definedName>
    <definedName name="XRefPaste43Row" localSheetId="3" hidden="1">#REF!</definedName>
    <definedName name="XRefPaste43Row" localSheetId="12" hidden="1">#REF!</definedName>
    <definedName name="XRefPaste43Row" localSheetId="21" hidden="1">#REF!</definedName>
    <definedName name="XRefPaste43Row" localSheetId="10" hidden="1">#REF!</definedName>
    <definedName name="XRefPaste43Row" localSheetId="17" hidden="1">#REF!</definedName>
    <definedName name="XRefPaste43Row" hidden="1">#REF!</definedName>
    <definedName name="XRefPaste44Row" localSheetId="14" hidden="1">#REF!</definedName>
    <definedName name="XRefPaste44Row" localSheetId="8" hidden="1">#REF!</definedName>
    <definedName name="XRefPaste44Row" localSheetId="6" hidden="1">#REF!</definedName>
    <definedName name="XRefPaste44Row" localSheetId="9" hidden="1">#REF!</definedName>
    <definedName name="XRefPaste44Row" localSheetId="16" hidden="1">#REF!</definedName>
    <definedName name="XRefPaste44Row" localSheetId="3" hidden="1">#REF!</definedName>
    <definedName name="XRefPaste44Row" localSheetId="12" hidden="1">#REF!</definedName>
    <definedName name="XRefPaste44Row" localSheetId="21" hidden="1">#REF!</definedName>
    <definedName name="XRefPaste44Row" localSheetId="10" hidden="1">#REF!</definedName>
    <definedName name="XRefPaste44Row" localSheetId="17" hidden="1">#REF!</definedName>
    <definedName name="XRefPaste44Row" hidden="1">#REF!</definedName>
    <definedName name="XRefPaste45Row" localSheetId="14" hidden="1">#REF!</definedName>
    <definedName name="XRefPaste45Row" localSheetId="8" hidden="1">#REF!</definedName>
    <definedName name="XRefPaste45Row" localSheetId="6" hidden="1">#REF!</definedName>
    <definedName name="XRefPaste45Row" localSheetId="9" hidden="1">#REF!</definedName>
    <definedName name="XRefPaste45Row" localSheetId="16" hidden="1">#REF!</definedName>
    <definedName name="XRefPaste45Row" localSheetId="3" hidden="1">#REF!</definedName>
    <definedName name="XRefPaste45Row" localSheetId="12" hidden="1">#REF!</definedName>
    <definedName name="XRefPaste45Row" localSheetId="21" hidden="1">#REF!</definedName>
    <definedName name="XRefPaste45Row" localSheetId="10" hidden="1">#REF!</definedName>
    <definedName name="XRefPaste45Row" localSheetId="17" hidden="1">#REF!</definedName>
    <definedName name="XRefPaste45Row" hidden="1">#REF!</definedName>
    <definedName name="XRefPaste46Row" localSheetId="14" hidden="1">#REF!</definedName>
    <definedName name="XRefPaste46Row" localSheetId="8" hidden="1">#REF!</definedName>
    <definedName name="XRefPaste46Row" localSheetId="6" hidden="1">#REF!</definedName>
    <definedName name="XRefPaste46Row" localSheetId="9" hidden="1">#REF!</definedName>
    <definedName name="XRefPaste46Row" localSheetId="16" hidden="1">#REF!</definedName>
    <definedName name="XRefPaste46Row" localSheetId="3" hidden="1">#REF!</definedName>
    <definedName name="XRefPaste46Row" localSheetId="12" hidden="1">#REF!</definedName>
    <definedName name="XRefPaste46Row" localSheetId="21" hidden="1">#REF!</definedName>
    <definedName name="XRefPaste46Row" localSheetId="10" hidden="1">#REF!</definedName>
    <definedName name="XRefPaste46Row" localSheetId="17" hidden="1">#REF!</definedName>
    <definedName name="XRefPaste46Row" hidden="1">#REF!</definedName>
    <definedName name="XRefPaste47" localSheetId="14" hidden="1">#REF!</definedName>
    <definedName name="XRefPaste47" localSheetId="8" hidden="1">#REF!</definedName>
    <definedName name="XRefPaste47" localSheetId="6" hidden="1">#REF!</definedName>
    <definedName name="XRefPaste47" localSheetId="9" hidden="1">#REF!</definedName>
    <definedName name="XRefPaste47" localSheetId="16" hidden="1">#REF!</definedName>
    <definedName name="XRefPaste47" localSheetId="3" hidden="1">#REF!</definedName>
    <definedName name="XRefPaste47" localSheetId="12" hidden="1">#REF!</definedName>
    <definedName name="XRefPaste47" localSheetId="21" hidden="1">#REF!</definedName>
    <definedName name="XRefPaste47" localSheetId="10" hidden="1">#REF!</definedName>
    <definedName name="XRefPaste47" localSheetId="17" hidden="1">#REF!</definedName>
    <definedName name="XRefPaste47" hidden="1">#REF!</definedName>
    <definedName name="XRefPaste47Row" localSheetId="14" hidden="1">#REF!</definedName>
    <definedName name="XRefPaste47Row" localSheetId="8" hidden="1">#REF!</definedName>
    <definedName name="XRefPaste47Row" localSheetId="6" hidden="1">#REF!</definedName>
    <definedName name="XRefPaste47Row" localSheetId="9" hidden="1">#REF!</definedName>
    <definedName name="XRefPaste47Row" localSheetId="16" hidden="1">#REF!</definedName>
    <definedName name="XRefPaste47Row" localSheetId="3" hidden="1">#REF!</definedName>
    <definedName name="XRefPaste47Row" localSheetId="12" hidden="1">#REF!</definedName>
    <definedName name="XRefPaste47Row" localSheetId="21" hidden="1">#REF!</definedName>
    <definedName name="XRefPaste47Row" localSheetId="10" hidden="1">#REF!</definedName>
    <definedName name="XRefPaste47Row" localSheetId="17" hidden="1">#REF!</definedName>
    <definedName name="XRefPaste47Row" hidden="1">#REF!</definedName>
    <definedName name="XRefPaste48Row" localSheetId="14" hidden="1">#REF!</definedName>
    <definedName name="XRefPaste48Row" localSheetId="8" hidden="1">#REF!</definedName>
    <definedName name="XRefPaste48Row" localSheetId="6" hidden="1">#REF!</definedName>
    <definedName name="XRefPaste48Row" localSheetId="9" hidden="1">#REF!</definedName>
    <definedName name="XRefPaste48Row" localSheetId="16" hidden="1">#REF!</definedName>
    <definedName name="XRefPaste48Row" localSheetId="3" hidden="1">#REF!</definedName>
    <definedName name="XRefPaste48Row" localSheetId="12" hidden="1">#REF!</definedName>
    <definedName name="XRefPaste48Row" localSheetId="21" hidden="1">#REF!</definedName>
    <definedName name="XRefPaste48Row" localSheetId="10" hidden="1">#REF!</definedName>
    <definedName name="XRefPaste48Row" localSheetId="17" hidden="1">#REF!</definedName>
    <definedName name="XRefPaste48Row" hidden="1">#REF!</definedName>
    <definedName name="XRefPaste49" localSheetId="14" hidden="1">#REF!</definedName>
    <definedName name="XRefPaste49" localSheetId="8" hidden="1">#REF!</definedName>
    <definedName name="XRefPaste49" localSheetId="6" hidden="1">#REF!</definedName>
    <definedName name="XRefPaste49" localSheetId="9" hidden="1">#REF!</definedName>
    <definedName name="XRefPaste49" localSheetId="16" hidden="1">#REF!</definedName>
    <definedName name="XRefPaste49" localSheetId="3" hidden="1">#REF!</definedName>
    <definedName name="XRefPaste49" localSheetId="12" hidden="1">#REF!</definedName>
    <definedName name="XRefPaste49" localSheetId="21" hidden="1">#REF!</definedName>
    <definedName name="XRefPaste49" localSheetId="10" hidden="1">#REF!</definedName>
    <definedName name="XRefPaste49" localSheetId="17" hidden="1">#REF!</definedName>
    <definedName name="XRefPaste49" hidden="1">#REF!</definedName>
    <definedName name="XRefPaste49Row" localSheetId="14" hidden="1">#REF!</definedName>
    <definedName name="XRefPaste49Row" localSheetId="8" hidden="1">#REF!</definedName>
    <definedName name="XRefPaste49Row" localSheetId="6" hidden="1">#REF!</definedName>
    <definedName name="XRefPaste49Row" localSheetId="9" hidden="1">#REF!</definedName>
    <definedName name="XRefPaste49Row" localSheetId="16" hidden="1">#REF!</definedName>
    <definedName name="XRefPaste49Row" localSheetId="3" hidden="1">#REF!</definedName>
    <definedName name="XRefPaste49Row" localSheetId="12" hidden="1">#REF!</definedName>
    <definedName name="XRefPaste49Row" localSheetId="21" hidden="1">#REF!</definedName>
    <definedName name="XRefPaste49Row" localSheetId="10" hidden="1">#REF!</definedName>
    <definedName name="XRefPaste49Row" localSheetId="17" hidden="1">#REF!</definedName>
    <definedName name="XRefPaste49Row" hidden="1">#REF!</definedName>
    <definedName name="XRefPaste4Row" localSheetId="14" hidden="1">#REF!</definedName>
    <definedName name="XRefPaste4Row" localSheetId="8" hidden="1">#REF!</definedName>
    <definedName name="XRefPaste4Row" localSheetId="6" hidden="1">#REF!</definedName>
    <definedName name="XRefPaste4Row" localSheetId="9" hidden="1">#REF!</definedName>
    <definedName name="XRefPaste4Row" localSheetId="16" hidden="1">#REF!</definedName>
    <definedName name="XRefPaste4Row" localSheetId="3" hidden="1">#REF!</definedName>
    <definedName name="XRefPaste4Row" localSheetId="12" hidden="1">#REF!</definedName>
    <definedName name="XRefPaste4Row" localSheetId="21" hidden="1">#REF!</definedName>
    <definedName name="XRefPaste4Row" localSheetId="10" hidden="1">#REF!</definedName>
    <definedName name="XRefPaste4Row" localSheetId="17" hidden="1">#REF!</definedName>
    <definedName name="XRefPaste4Row" hidden="1">#REF!</definedName>
    <definedName name="XRefPaste5" localSheetId="14" hidden="1">#REF!</definedName>
    <definedName name="XRefPaste5" localSheetId="8" hidden="1">#REF!</definedName>
    <definedName name="XRefPaste5" localSheetId="6" hidden="1">#REF!</definedName>
    <definedName name="XRefPaste5" localSheetId="9" hidden="1">#REF!</definedName>
    <definedName name="XRefPaste5" localSheetId="16" hidden="1">#REF!</definedName>
    <definedName name="XRefPaste5" localSheetId="3" hidden="1">#REF!</definedName>
    <definedName name="XRefPaste5" localSheetId="12" hidden="1">#REF!</definedName>
    <definedName name="XRefPaste5" localSheetId="21" hidden="1">#REF!</definedName>
    <definedName name="XRefPaste5" localSheetId="10" hidden="1">#REF!</definedName>
    <definedName name="XRefPaste5" localSheetId="17" hidden="1">#REF!</definedName>
    <definedName name="XRefPaste5" hidden="1">#REF!</definedName>
    <definedName name="XRefPaste50" localSheetId="14" hidden="1">#REF!</definedName>
    <definedName name="XRefPaste50" localSheetId="8" hidden="1">#REF!</definedName>
    <definedName name="XRefPaste50" localSheetId="6" hidden="1">#REF!</definedName>
    <definedName name="XRefPaste50" localSheetId="9" hidden="1">#REF!</definedName>
    <definedName name="XRefPaste50" localSheetId="16" hidden="1">#REF!</definedName>
    <definedName name="XRefPaste50" localSheetId="3" hidden="1">#REF!</definedName>
    <definedName name="XRefPaste50" localSheetId="12" hidden="1">#REF!</definedName>
    <definedName name="XRefPaste50" localSheetId="21" hidden="1">#REF!</definedName>
    <definedName name="XRefPaste50" localSheetId="10" hidden="1">#REF!</definedName>
    <definedName name="XRefPaste50" localSheetId="17" hidden="1">#REF!</definedName>
    <definedName name="XRefPaste50" hidden="1">#REF!</definedName>
    <definedName name="XRefPaste5Row" localSheetId="14" hidden="1">#REF!</definedName>
    <definedName name="XRefPaste5Row" localSheetId="8" hidden="1">#REF!</definedName>
    <definedName name="XRefPaste5Row" localSheetId="6" hidden="1">#REF!</definedName>
    <definedName name="XRefPaste5Row" localSheetId="9" hidden="1">#REF!</definedName>
    <definedName name="XRefPaste5Row" localSheetId="16" hidden="1">#REF!</definedName>
    <definedName name="XRefPaste5Row" localSheetId="3" hidden="1">#REF!</definedName>
    <definedName name="XRefPaste5Row" localSheetId="12" hidden="1">#REF!</definedName>
    <definedName name="XRefPaste5Row" localSheetId="21" hidden="1">#REF!</definedName>
    <definedName name="XRefPaste5Row" localSheetId="10" hidden="1">#REF!</definedName>
    <definedName name="XRefPaste5Row" localSheetId="17" hidden="1">#REF!</definedName>
    <definedName name="XRefPaste5Row" hidden="1">#REF!</definedName>
    <definedName name="XRefPaste6" localSheetId="14" hidden="1">#REF!</definedName>
    <definedName name="XRefPaste6" localSheetId="8" hidden="1">#REF!</definedName>
    <definedName name="XRefPaste6" localSheetId="6" hidden="1">#REF!</definedName>
    <definedName name="XRefPaste6" localSheetId="9" hidden="1">#REF!</definedName>
    <definedName name="XRefPaste6" localSheetId="16" hidden="1">#REF!</definedName>
    <definedName name="XRefPaste6" localSheetId="3" hidden="1">#REF!</definedName>
    <definedName name="XRefPaste6" localSheetId="12" hidden="1">#REF!</definedName>
    <definedName name="XRefPaste6" localSheetId="21" hidden="1">#REF!</definedName>
    <definedName name="XRefPaste6" localSheetId="10" hidden="1">#REF!</definedName>
    <definedName name="XRefPaste6" localSheetId="17" hidden="1">#REF!</definedName>
    <definedName name="XRefPaste6" hidden="1">#REF!</definedName>
    <definedName name="XRefPaste6Row" localSheetId="14" hidden="1">#REF!</definedName>
    <definedName name="XRefPaste6Row" localSheetId="8" hidden="1">#REF!</definedName>
    <definedName name="XRefPaste6Row" localSheetId="6" hidden="1">#REF!</definedName>
    <definedName name="XRefPaste6Row" localSheetId="9" hidden="1">#REF!</definedName>
    <definedName name="XRefPaste6Row" localSheetId="16" hidden="1">#REF!</definedName>
    <definedName name="XRefPaste6Row" localSheetId="3" hidden="1">#REF!</definedName>
    <definedName name="XRefPaste6Row" localSheetId="12" hidden="1">#REF!</definedName>
    <definedName name="XRefPaste6Row" localSheetId="21" hidden="1">#REF!</definedName>
    <definedName name="XRefPaste6Row" localSheetId="10" hidden="1">#REF!</definedName>
    <definedName name="XRefPaste6Row" localSheetId="17" hidden="1">#REF!</definedName>
    <definedName name="XRefPaste6Row" hidden="1">#REF!</definedName>
    <definedName name="XRefPaste7" localSheetId="14" hidden="1">#REF!</definedName>
    <definedName name="XRefPaste7" localSheetId="8" hidden="1">#REF!</definedName>
    <definedName name="XRefPaste7" localSheetId="6" hidden="1">#REF!</definedName>
    <definedName name="XRefPaste7" localSheetId="9" hidden="1">#REF!</definedName>
    <definedName name="XRefPaste7" localSheetId="16" hidden="1">#REF!</definedName>
    <definedName name="XRefPaste7" localSheetId="3" hidden="1">#REF!</definedName>
    <definedName name="XRefPaste7" localSheetId="12" hidden="1">#REF!</definedName>
    <definedName name="XRefPaste7" localSheetId="21" hidden="1">#REF!</definedName>
    <definedName name="XRefPaste7" localSheetId="10" hidden="1">#REF!</definedName>
    <definedName name="XRefPaste7" localSheetId="17" hidden="1">#REF!</definedName>
    <definedName name="XRefPaste7" hidden="1">#REF!</definedName>
    <definedName name="XRefPaste7Row" localSheetId="14" hidden="1">#REF!</definedName>
    <definedName name="XRefPaste7Row" localSheetId="8" hidden="1">#REF!</definedName>
    <definedName name="XRefPaste7Row" localSheetId="6" hidden="1">#REF!</definedName>
    <definedName name="XRefPaste7Row" localSheetId="9" hidden="1">#REF!</definedName>
    <definedName name="XRefPaste7Row" localSheetId="16" hidden="1">#REF!</definedName>
    <definedName name="XRefPaste7Row" localSheetId="3" hidden="1">#REF!</definedName>
    <definedName name="XRefPaste7Row" localSheetId="12" hidden="1">#REF!</definedName>
    <definedName name="XRefPaste7Row" localSheetId="21" hidden="1">#REF!</definedName>
    <definedName name="XRefPaste7Row" localSheetId="10" hidden="1">#REF!</definedName>
    <definedName name="XRefPaste7Row" localSheetId="17" hidden="1">#REF!</definedName>
    <definedName name="XRefPaste7Row" hidden="1">#REF!</definedName>
    <definedName name="XRefPaste8Row" localSheetId="14" hidden="1">#REF!</definedName>
    <definedName name="XRefPaste8Row" localSheetId="8" hidden="1">#REF!</definedName>
    <definedName name="XRefPaste8Row" localSheetId="6" hidden="1">#REF!</definedName>
    <definedName name="XRefPaste8Row" localSheetId="9" hidden="1">#REF!</definedName>
    <definedName name="XRefPaste8Row" localSheetId="16" hidden="1">#REF!</definedName>
    <definedName name="XRefPaste8Row" localSheetId="3" hidden="1">#REF!</definedName>
    <definedName name="XRefPaste8Row" localSheetId="12" hidden="1">#REF!</definedName>
    <definedName name="XRefPaste8Row" localSheetId="21" hidden="1">#REF!</definedName>
    <definedName name="XRefPaste8Row" localSheetId="10" hidden="1">#REF!</definedName>
    <definedName name="XRefPaste8Row" localSheetId="17" hidden="1">#REF!</definedName>
    <definedName name="XRefPaste8Row" hidden="1">#REF!</definedName>
    <definedName name="XRefPaste9" localSheetId="14" hidden="1">#REF!</definedName>
    <definedName name="XRefPaste9" localSheetId="8" hidden="1">#REF!</definedName>
    <definedName name="XRefPaste9" localSheetId="6" hidden="1">#REF!</definedName>
    <definedName name="XRefPaste9" localSheetId="9" hidden="1">#REF!</definedName>
    <definedName name="XRefPaste9" localSheetId="16" hidden="1">#REF!</definedName>
    <definedName name="XRefPaste9" localSheetId="3" hidden="1">#REF!</definedName>
    <definedName name="XRefPaste9" localSheetId="12" hidden="1">#REF!</definedName>
    <definedName name="XRefPaste9" localSheetId="21" hidden="1">#REF!</definedName>
    <definedName name="XRefPaste9" localSheetId="10" hidden="1">#REF!</definedName>
    <definedName name="XRefPaste9" localSheetId="17" hidden="1">#REF!</definedName>
    <definedName name="XRefPaste9" hidden="1">#REF!</definedName>
    <definedName name="XRefPaste9Row" localSheetId="14" hidden="1">#REF!</definedName>
    <definedName name="XRefPaste9Row" localSheetId="8" hidden="1">#REF!</definedName>
    <definedName name="XRefPaste9Row" localSheetId="6" hidden="1">#REF!</definedName>
    <definedName name="XRefPaste9Row" localSheetId="9" hidden="1">#REF!</definedName>
    <definedName name="XRefPaste9Row" localSheetId="16" hidden="1">#REF!</definedName>
    <definedName name="XRefPaste9Row" localSheetId="3" hidden="1">#REF!</definedName>
    <definedName name="XRefPaste9Row" localSheetId="12" hidden="1">#REF!</definedName>
    <definedName name="XRefPaste9Row" localSheetId="21" hidden="1">#REF!</definedName>
    <definedName name="XRefPaste9Row" localSheetId="10" hidden="1">#REF!</definedName>
    <definedName name="XRefPaste9Row" localSheetId="17" hidden="1">#REF!</definedName>
    <definedName name="XRefPaste9Row" hidden="1">#REF!</definedName>
    <definedName name="XRefPasteRangeCount" hidden="1">5</definedName>
    <definedName name="XX" localSheetId="14">#REF!</definedName>
    <definedName name="XX" localSheetId="8">#REF!</definedName>
    <definedName name="XX" localSheetId="6">#REF!</definedName>
    <definedName name="XX" localSheetId="9">#REF!</definedName>
    <definedName name="XX" localSheetId="16">#REF!</definedName>
    <definedName name="XX" localSheetId="3">#REF!</definedName>
    <definedName name="XX" localSheetId="0">#REF!</definedName>
    <definedName name="XX" localSheetId="12">#REF!</definedName>
    <definedName name="XX" localSheetId="20">#REF!</definedName>
    <definedName name="XX" localSheetId="19">#REF!</definedName>
    <definedName name="XX" localSheetId="21">#REF!</definedName>
    <definedName name="XX" localSheetId="7">#REF!</definedName>
    <definedName name="XX" localSheetId="10">#REF!</definedName>
    <definedName name="XX" localSheetId="17">#REF!</definedName>
    <definedName name="XX">#REF!</definedName>
    <definedName name="XXX" localSheetId="14">#REF!</definedName>
    <definedName name="XXX" localSheetId="8">#REF!</definedName>
    <definedName name="XXX" localSheetId="6">#REF!</definedName>
    <definedName name="XXX" localSheetId="9">#REF!</definedName>
    <definedName name="XXX" localSheetId="16">#REF!</definedName>
    <definedName name="XXX" localSheetId="3">#REF!</definedName>
    <definedName name="XXX" localSheetId="0">#REF!</definedName>
    <definedName name="XXX" localSheetId="12">#REF!</definedName>
    <definedName name="XXX" localSheetId="20">#REF!</definedName>
    <definedName name="XXX" localSheetId="19">#REF!</definedName>
    <definedName name="XXX" localSheetId="21">#REF!</definedName>
    <definedName name="XXX" localSheetId="7">#REF!</definedName>
    <definedName name="XXX" localSheetId="10">#REF!</definedName>
    <definedName name="XXX" localSheetId="17">#REF!</definedName>
    <definedName name="XXX">#REF!</definedName>
    <definedName name="yes" hidden="1">{#N/A,#N/A,FALSE,"Aging Summary";#N/A,#N/A,FALSE,"Ratio Analysis";#N/A,#N/A,FALSE,"Test 120 Day Accts";#N/A,#N/A,FALSE,"Tickmarks"}</definedName>
    <definedName name="yui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YYY" hidden="1">{#N/A,#N/A,FALSE,"Aging Summary";#N/A,#N/A,FALSE,"Ratio Analysis";#N/A,#N/A,FALSE,"Test 120 Day Accts";#N/A,#N/A,FALSE,"Tickmarks"}</definedName>
    <definedName name="yyyy" hidden="1">{#N/A,#N/A,FALSE,"Aging Summary";#N/A,#N/A,FALSE,"Ratio Analysis";#N/A,#N/A,FALSE,"Test 120 Day Accts";#N/A,#N/A,FALSE,"Tickmarks"}</definedName>
    <definedName name="z" hidden="1">{#N/A,#N/A,FALSE,"Aging Summary";#N/A,#N/A,FALSE,"Ratio Analysis";#N/A,#N/A,FALSE,"Test 120 Day Accts";#N/A,#N/A,FALSE,"Tickmarks"}</definedName>
    <definedName name="Z_02B13A4A_FC5F_4F48_B0B3_5EAEDDC95ABC_.wvu.FilterData" localSheetId="14" hidden="1">#REF!</definedName>
    <definedName name="Z_02B13A4A_FC5F_4F48_B0B3_5EAEDDC95ABC_.wvu.FilterData" localSheetId="8" hidden="1">#REF!</definedName>
    <definedName name="Z_02B13A4A_FC5F_4F48_B0B3_5EAEDDC95ABC_.wvu.FilterData" localSheetId="6" hidden="1">#REF!</definedName>
    <definedName name="Z_02B13A4A_FC5F_4F48_B0B3_5EAEDDC95ABC_.wvu.FilterData" localSheetId="9" hidden="1">#REF!</definedName>
    <definedName name="Z_02B13A4A_FC5F_4F48_B0B3_5EAEDDC95ABC_.wvu.FilterData" localSheetId="16" hidden="1">#REF!</definedName>
    <definedName name="Z_02B13A4A_FC5F_4F48_B0B3_5EAEDDC95ABC_.wvu.FilterData" localSheetId="3" hidden="1">#REF!</definedName>
    <definedName name="Z_02B13A4A_FC5F_4F48_B0B3_5EAEDDC95ABC_.wvu.FilterData" localSheetId="12" hidden="1">#REF!</definedName>
    <definedName name="Z_02B13A4A_FC5F_4F48_B0B3_5EAEDDC95ABC_.wvu.FilterData" localSheetId="21" hidden="1">#REF!</definedName>
    <definedName name="Z_02B13A4A_FC5F_4F48_B0B3_5EAEDDC95ABC_.wvu.FilterData" localSheetId="10" hidden="1">#REF!</definedName>
    <definedName name="Z_02B13A4A_FC5F_4F48_B0B3_5EAEDDC95ABC_.wvu.FilterData" localSheetId="17" hidden="1">#REF!</definedName>
    <definedName name="Z_02B13A4A_FC5F_4F48_B0B3_5EAEDDC95ABC_.wvu.FilterData" hidden="1">#REF!</definedName>
    <definedName name="Z_02B13A4A_FC5F_4F48_B0B3_5EAEDDC95ABC_.wvu.PrintArea" localSheetId="14" hidden="1">#REF!</definedName>
    <definedName name="Z_02B13A4A_FC5F_4F48_B0B3_5EAEDDC95ABC_.wvu.PrintArea" localSheetId="8" hidden="1">#REF!</definedName>
    <definedName name="Z_02B13A4A_FC5F_4F48_B0B3_5EAEDDC95ABC_.wvu.PrintArea" localSheetId="6" hidden="1">#REF!</definedName>
    <definedName name="Z_02B13A4A_FC5F_4F48_B0B3_5EAEDDC95ABC_.wvu.PrintArea" localSheetId="9" hidden="1">#REF!</definedName>
    <definedName name="Z_02B13A4A_FC5F_4F48_B0B3_5EAEDDC95ABC_.wvu.PrintArea" localSheetId="16" hidden="1">#REF!</definedName>
    <definedName name="Z_02B13A4A_FC5F_4F48_B0B3_5EAEDDC95ABC_.wvu.PrintArea" localSheetId="3" hidden="1">#REF!</definedName>
    <definedName name="Z_02B13A4A_FC5F_4F48_B0B3_5EAEDDC95ABC_.wvu.PrintArea" localSheetId="12" hidden="1">#REF!</definedName>
    <definedName name="Z_02B13A4A_FC5F_4F48_B0B3_5EAEDDC95ABC_.wvu.PrintArea" localSheetId="21" hidden="1">#REF!</definedName>
    <definedName name="Z_02B13A4A_FC5F_4F48_B0B3_5EAEDDC95ABC_.wvu.PrintArea" localSheetId="10" hidden="1">#REF!</definedName>
    <definedName name="Z_02B13A4A_FC5F_4F48_B0B3_5EAEDDC95ABC_.wvu.PrintArea" localSheetId="17" hidden="1">#REF!</definedName>
    <definedName name="Z_02B13A4A_FC5F_4F48_B0B3_5EAEDDC95ABC_.wvu.PrintArea" hidden="1">#REF!</definedName>
    <definedName name="Z_D68BB41E_D2D2_4D29_B750_BEA70A594FF0_.wvu.PrintArea" localSheetId="14" hidden="1">#REF!</definedName>
    <definedName name="Z_D68BB41E_D2D2_4D29_B750_BEA70A594FF0_.wvu.PrintArea" localSheetId="8" hidden="1">#REF!</definedName>
    <definedName name="Z_D68BB41E_D2D2_4D29_B750_BEA70A594FF0_.wvu.PrintArea" localSheetId="6" hidden="1">#REF!</definedName>
    <definedName name="Z_D68BB41E_D2D2_4D29_B750_BEA70A594FF0_.wvu.PrintArea" localSheetId="9" hidden="1">#REF!</definedName>
    <definedName name="Z_D68BB41E_D2D2_4D29_B750_BEA70A594FF0_.wvu.PrintArea" localSheetId="16" hidden="1">#REF!</definedName>
    <definedName name="Z_D68BB41E_D2D2_4D29_B750_BEA70A594FF0_.wvu.PrintArea" localSheetId="3" hidden="1">#REF!</definedName>
    <definedName name="Z_D68BB41E_D2D2_4D29_B750_BEA70A594FF0_.wvu.PrintArea" localSheetId="12" hidden="1">#REF!</definedName>
    <definedName name="Z_D68BB41E_D2D2_4D29_B750_BEA70A594FF0_.wvu.PrintArea" localSheetId="21" hidden="1">#REF!</definedName>
    <definedName name="Z_D68BB41E_D2D2_4D29_B750_BEA70A594FF0_.wvu.PrintArea" localSheetId="10" hidden="1">#REF!</definedName>
    <definedName name="Z_D68BB41E_D2D2_4D29_B750_BEA70A594FF0_.wvu.PrintArea" localSheetId="17" hidden="1">#REF!</definedName>
    <definedName name="Z_D68BB41E_D2D2_4D29_B750_BEA70A594FF0_.wvu.PrintArea" hidden="1">#REF!</definedName>
    <definedName name="Z_D68BB41E_D2D2_4D29_B750_BEA70A594FF0_.wvu.Rows" localSheetId="14" hidden="1">#REF!,#REF!</definedName>
    <definedName name="Z_D68BB41E_D2D2_4D29_B750_BEA70A594FF0_.wvu.Rows" localSheetId="8" hidden="1">#REF!,#REF!</definedName>
    <definedName name="Z_D68BB41E_D2D2_4D29_B750_BEA70A594FF0_.wvu.Rows" localSheetId="6" hidden="1">#REF!,#REF!</definedName>
    <definedName name="Z_D68BB41E_D2D2_4D29_B750_BEA70A594FF0_.wvu.Rows" localSheetId="9" hidden="1">#REF!,#REF!</definedName>
    <definedName name="Z_D68BB41E_D2D2_4D29_B750_BEA70A594FF0_.wvu.Rows" localSheetId="16" hidden="1">#REF!,#REF!</definedName>
    <definedName name="Z_D68BB41E_D2D2_4D29_B750_BEA70A594FF0_.wvu.Rows" localSheetId="3" hidden="1">#REF!,#REF!</definedName>
    <definedName name="Z_D68BB41E_D2D2_4D29_B750_BEA70A594FF0_.wvu.Rows" localSheetId="12" hidden="1">#REF!,#REF!</definedName>
    <definedName name="Z_D68BB41E_D2D2_4D29_B750_BEA70A594FF0_.wvu.Rows" localSheetId="21" hidden="1">#REF!,#REF!</definedName>
    <definedName name="Z_D68BB41E_D2D2_4D29_B750_BEA70A594FF0_.wvu.Rows" localSheetId="10" hidden="1">#REF!,#REF!</definedName>
    <definedName name="Z_D68BB41E_D2D2_4D29_B750_BEA70A594FF0_.wvu.Rows" localSheetId="17" hidden="1">#REF!,#REF!</definedName>
    <definedName name="Z_D68BB41E_D2D2_4D29_B750_BEA70A594FF0_.wvu.Rows" hidden="1">#REF!,#REF!</definedName>
  </definedNames>
  <calcPr calcId="144525"/>
</workbook>
</file>

<file path=xl/calcChain.xml><?xml version="1.0" encoding="utf-8"?>
<calcChain xmlns="http://schemas.openxmlformats.org/spreadsheetml/2006/main">
  <c r="Q14" i="40" l="1"/>
  <c r="Q4" i="40"/>
  <c r="Q10" i="40"/>
  <c r="K4" i="40"/>
  <c r="H4" i="40"/>
  <c r="F4" i="40"/>
  <c r="B10" i="31" l="1"/>
  <c r="C25" i="31"/>
  <c r="C24" i="31"/>
  <c r="B13" i="31"/>
  <c r="B9" i="31"/>
  <c r="B8" i="31"/>
  <c r="B6" i="31"/>
  <c r="B5" i="31"/>
  <c r="G14" i="29"/>
  <c r="G16" i="29"/>
  <c r="G13" i="29"/>
  <c r="G9" i="29"/>
  <c r="G11" i="29"/>
  <c r="G8" i="29"/>
  <c r="F40" i="28"/>
  <c r="F39" i="28"/>
  <c r="F38" i="28"/>
  <c r="F37" i="28"/>
  <c r="F33" i="28"/>
  <c r="F27" i="28"/>
  <c r="F29" i="28"/>
  <c r="F26" i="28"/>
  <c r="F9" i="28"/>
  <c r="F16" i="28"/>
  <c r="F17" i="28"/>
  <c r="F13" i="28"/>
  <c r="F12" i="28"/>
  <c r="F10" i="28"/>
  <c r="F8" i="28"/>
  <c r="I3" i="6"/>
  <c r="B6" i="6"/>
  <c r="C24" i="6"/>
  <c r="C5" i="6"/>
  <c r="B21" i="6"/>
  <c r="D27" i="61"/>
  <c r="D35" i="60"/>
  <c r="C39" i="60"/>
  <c r="C54" i="60"/>
  <c r="D68" i="61"/>
  <c r="D168" i="61" s="1"/>
  <c r="D157" i="61"/>
  <c r="D142" i="61"/>
  <c r="D141" i="61"/>
  <c r="D57" i="61"/>
  <c r="D48" i="61"/>
  <c r="D42" i="61"/>
  <c r="D41" i="61"/>
  <c r="D25" i="61"/>
  <c r="D23" i="61"/>
  <c r="D123" i="61" s="1"/>
  <c r="D22" i="61"/>
  <c r="D21" i="61"/>
  <c r="D20" i="61"/>
  <c r="D19" i="61"/>
  <c r="D7" i="61"/>
  <c r="G84" i="59"/>
  <c r="F79" i="59"/>
  <c r="E79" i="59"/>
  <c r="C188" i="61"/>
  <c r="C190" i="61" s="1"/>
  <c r="C187" i="61"/>
  <c r="C185" i="61"/>
  <c r="C184" i="61"/>
  <c r="E173" i="61"/>
  <c r="D139" i="61"/>
  <c r="D138" i="61"/>
  <c r="D137" i="61"/>
  <c r="D136" i="61"/>
  <c r="D135" i="61"/>
  <c r="D134" i="61"/>
  <c r="D156" i="61" s="1"/>
  <c r="D133" i="61"/>
  <c r="D155" i="61" s="1"/>
  <c r="D132" i="61"/>
  <c r="D154" i="61" s="1"/>
  <c r="D131" i="61"/>
  <c r="D153" i="61" s="1"/>
  <c r="D130" i="61"/>
  <c r="D129" i="61"/>
  <c r="D128" i="61"/>
  <c r="D127" i="61"/>
  <c r="D126" i="61"/>
  <c r="D125" i="61"/>
  <c r="D124" i="61"/>
  <c r="D118" i="61"/>
  <c r="D117" i="61"/>
  <c r="D169" i="61" s="1"/>
  <c r="D116" i="61"/>
  <c r="D115" i="61"/>
  <c r="D114" i="61"/>
  <c r="D113" i="61"/>
  <c r="D110" i="61"/>
  <c r="D109" i="61"/>
  <c r="D108" i="61"/>
  <c r="C87" i="61"/>
  <c r="C88" i="61" s="1"/>
  <c r="C90" i="61" s="1"/>
  <c r="C85" i="61"/>
  <c r="C84" i="61"/>
  <c r="E73" i="61"/>
  <c r="D69" i="61"/>
  <c r="D56" i="61"/>
  <c r="D55" i="61"/>
  <c r="D54" i="61"/>
  <c r="D53" i="61"/>
  <c r="D144" i="61"/>
  <c r="D143" i="61"/>
  <c r="D112" i="61"/>
  <c r="D151" i="61" s="1"/>
  <c r="D197" i="61" s="1"/>
  <c r="D198" i="61" s="1"/>
  <c r="D199" i="61" s="1"/>
  <c r="D111" i="61"/>
  <c r="D107" i="61"/>
  <c r="E6" i="61"/>
  <c r="D9" i="60"/>
  <c r="C58" i="60"/>
  <c r="E58" i="60" s="1"/>
  <c r="C10" i="60"/>
  <c r="B149" i="8"/>
  <c r="B148" i="8"/>
  <c r="D38" i="60"/>
  <c r="C38" i="60"/>
  <c r="C146" i="8"/>
  <c r="C52" i="60"/>
  <c r="D68" i="60"/>
  <c r="C13" i="60"/>
  <c r="D24" i="60"/>
  <c r="D23" i="60"/>
  <c r="C65" i="60"/>
  <c r="C64" i="60"/>
  <c r="C140" i="8"/>
  <c r="C139" i="8"/>
  <c r="B138" i="8"/>
  <c r="B137" i="8"/>
  <c r="C135" i="8"/>
  <c r="D42" i="60"/>
  <c r="C6" i="60"/>
  <c r="F6" i="60" s="1"/>
  <c r="H6" i="60" s="1"/>
  <c r="D6" i="60"/>
  <c r="C30" i="60"/>
  <c r="B131" i="8"/>
  <c r="C28" i="60"/>
  <c r="C56" i="60"/>
  <c r="E56" i="60" s="1"/>
  <c r="D36" i="60"/>
  <c r="C51" i="60"/>
  <c r="C123" i="8"/>
  <c r="D10" i="60"/>
  <c r="C120" i="8"/>
  <c r="D11" i="60"/>
  <c r="C60" i="60"/>
  <c r="C59" i="60"/>
  <c r="D27" i="60"/>
  <c r="D34" i="60"/>
  <c r="C5" i="60"/>
  <c r="C32" i="60"/>
  <c r="C31" i="60"/>
  <c r="F38" i="60"/>
  <c r="H38" i="60" s="1"/>
  <c r="D48" i="60"/>
  <c r="D31" i="60"/>
  <c r="C99" i="8"/>
  <c r="D32" i="60"/>
  <c r="E32" i="60" s="1"/>
  <c r="G32" i="60" s="1"/>
  <c r="C49" i="60"/>
  <c r="C48" i="60"/>
  <c r="D67" i="60"/>
  <c r="D8" i="60"/>
  <c r="F8" i="60" s="1"/>
  <c r="H8" i="60" s="1"/>
  <c r="C7" i="60"/>
  <c r="E7" i="60"/>
  <c r="G7" i="60" s="1"/>
  <c r="D7" i="60"/>
  <c r="F7" i="60" s="1"/>
  <c r="H7" i="60" s="1"/>
  <c r="D44" i="60"/>
  <c r="D30" i="60"/>
  <c r="A30" i="60"/>
  <c r="E30" i="60"/>
  <c r="G30" i="60" s="1"/>
  <c r="C46" i="60"/>
  <c r="D12" i="60"/>
  <c r="C62" i="60"/>
  <c r="D13" i="60"/>
  <c r="C35" i="60"/>
  <c r="D5" i="60"/>
  <c r="C14" i="60"/>
  <c r="C12" i="60"/>
  <c r="C63" i="60"/>
  <c r="C26" i="60"/>
  <c r="D26" i="60"/>
  <c r="C21" i="60"/>
  <c r="C27" i="60"/>
  <c r="C47" i="60"/>
  <c r="F47" i="60" s="1"/>
  <c r="D69" i="60"/>
  <c r="F69" i="60" s="1"/>
  <c r="C9" i="60"/>
  <c r="C4" i="6"/>
  <c r="D14" i="60"/>
  <c r="F14" i="60" s="1"/>
  <c r="H14" i="60" s="1"/>
  <c r="C33" i="60"/>
  <c r="C37" i="60"/>
  <c r="D46" i="60"/>
  <c r="E46" i="60" s="1"/>
  <c r="G46" i="60" s="1"/>
  <c r="C45" i="60"/>
  <c r="B19" i="6"/>
  <c r="B3" i="6"/>
  <c r="D45" i="60"/>
  <c r="C8" i="60"/>
  <c r="C11" i="60"/>
  <c r="C15" i="60"/>
  <c r="D15" i="60"/>
  <c r="F15" i="60" s="1"/>
  <c r="H15" i="60" s="1"/>
  <c r="C16" i="60"/>
  <c r="D16" i="60"/>
  <c r="C17" i="60"/>
  <c r="D17" i="60"/>
  <c r="E17" i="60" s="1"/>
  <c r="G17" i="60" s="1"/>
  <c r="C18" i="60"/>
  <c r="D18" i="60"/>
  <c r="C19" i="60"/>
  <c r="D19" i="60"/>
  <c r="E19" i="60" s="1"/>
  <c r="G19" i="60" s="1"/>
  <c r="C20" i="60"/>
  <c r="F20" i="60" s="1"/>
  <c r="H20" i="60" s="1"/>
  <c r="D20" i="60"/>
  <c r="D21" i="60"/>
  <c r="C22" i="60"/>
  <c r="D22" i="60"/>
  <c r="C23" i="60"/>
  <c r="F23" i="60"/>
  <c r="H23" i="60" s="1"/>
  <c r="C24" i="60"/>
  <c r="C25" i="60"/>
  <c r="D25" i="60"/>
  <c r="F25" i="60" s="1"/>
  <c r="H25" i="60" s="1"/>
  <c r="D28" i="60"/>
  <c r="C29" i="60"/>
  <c r="D29" i="60"/>
  <c r="F31" i="60"/>
  <c r="H31" i="60" s="1"/>
  <c r="D33" i="60"/>
  <c r="C34" i="60"/>
  <c r="C36" i="60"/>
  <c r="E36" i="60"/>
  <c r="G36" i="60" s="1"/>
  <c r="F37" i="60"/>
  <c r="H37" i="60" s="1"/>
  <c r="D37" i="60"/>
  <c r="E38" i="60"/>
  <c r="G38" i="60" s="1"/>
  <c r="F39" i="60"/>
  <c r="H39" i="60" s="1"/>
  <c r="D39" i="60"/>
  <c r="C40" i="60"/>
  <c r="D40" i="60"/>
  <c r="F40" i="60" s="1"/>
  <c r="H40" i="60" s="1"/>
  <c r="C41" i="60"/>
  <c r="F41" i="60" s="1"/>
  <c r="H41" i="60" s="1"/>
  <c r="D41" i="60"/>
  <c r="C42" i="60"/>
  <c r="F42" i="60"/>
  <c r="H42" i="60" s="1"/>
  <c r="C43" i="60"/>
  <c r="D43" i="60"/>
  <c r="C44" i="60"/>
  <c r="E44" i="60"/>
  <c r="G44" i="60" s="1"/>
  <c r="E5" i="60"/>
  <c r="F46" i="60"/>
  <c r="H46" i="60" s="1"/>
  <c r="E45" i="60"/>
  <c r="G45" i="60" s="1"/>
  <c r="F45" i="60"/>
  <c r="H45" i="60" s="1"/>
  <c r="E68" i="60"/>
  <c r="F68" i="60"/>
  <c r="J68" i="60" s="1"/>
  <c r="F67" i="60"/>
  <c r="E66" i="60"/>
  <c r="F66" i="60"/>
  <c r="J66" i="60" s="1"/>
  <c r="F65" i="60"/>
  <c r="E64" i="60"/>
  <c r="F64" i="60"/>
  <c r="J64" i="60" s="1"/>
  <c r="F63" i="60"/>
  <c r="E62" i="60"/>
  <c r="I62" i="60" s="1"/>
  <c r="F62" i="60"/>
  <c r="F61" i="60"/>
  <c r="E60" i="60"/>
  <c r="F60" i="60"/>
  <c r="F59" i="60"/>
  <c r="F57" i="60"/>
  <c r="F56" i="60"/>
  <c r="F55" i="60"/>
  <c r="F53" i="60"/>
  <c r="E52" i="60"/>
  <c r="F52" i="60"/>
  <c r="F51" i="60"/>
  <c r="E50" i="60"/>
  <c r="F50" i="60"/>
  <c r="J50" i="60" s="1"/>
  <c r="F49" i="60"/>
  <c r="E48" i="60"/>
  <c r="F48" i="60"/>
  <c r="F44" i="60"/>
  <c r="H44" i="60" s="1"/>
  <c r="F43" i="60"/>
  <c r="H43" i="60" s="1"/>
  <c r="F35" i="60"/>
  <c r="H35" i="60" s="1"/>
  <c r="E29" i="60"/>
  <c r="G29" i="60" s="1"/>
  <c r="F29" i="60"/>
  <c r="H29" i="60" s="1"/>
  <c r="F26" i="60"/>
  <c r="H26" i="60" s="1"/>
  <c r="E23" i="60"/>
  <c r="G23" i="60" s="1"/>
  <c r="E21" i="60"/>
  <c r="G21" i="60" s="1"/>
  <c r="F21" i="60"/>
  <c r="H21" i="60" s="1"/>
  <c r="F19" i="60"/>
  <c r="H19" i="60" s="1"/>
  <c r="F18" i="60"/>
  <c r="H18" i="60" s="1"/>
  <c r="F17" i="60"/>
  <c r="H17" i="60" s="1"/>
  <c r="F16" i="60"/>
  <c r="H16" i="60" s="1"/>
  <c r="E15" i="60"/>
  <c r="G15" i="60" s="1"/>
  <c r="E13" i="60"/>
  <c r="G13" i="60" s="1"/>
  <c r="F13" i="60"/>
  <c r="H13" i="60" s="1"/>
  <c r="E11" i="60"/>
  <c r="G11" i="60" s="1"/>
  <c r="F11" i="60"/>
  <c r="H11" i="60" s="1"/>
  <c r="F10" i="60"/>
  <c r="H10" i="60" s="1"/>
  <c r="A10" i="60"/>
  <c r="F9" i="60"/>
  <c r="H9" i="60" s="1"/>
  <c r="E9" i="60"/>
  <c r="G9" i="60" s="1"/>
  <c r="D138" i="8"/>
  <c r="D137" i="8"/>
  <c r="F153" i="59"/>
  <c r="F143" i="59"/>
  <c r="F147" i="59" s="1"/>
  <c r="F148" i="59" s="1"/>
  <c r="F149" i="59" s="1"/>
  <c r="F140" i="59"/>
  <c r="F130" i="59"/>
  <c r="F134" i="59" s="1"/>
  <c r="E130" i="59"/>
  <c r="E143" i="59" s="1"/>
  <c r="E147" i="59" s="1"/>
  <c r="E148" i="59" s="1"/>
  <c r="F117" i="59"/>
  <c r="F121" i="59" s="1"/>
  <c r="F123" i="59" s="1"/>
  <c r="F127" i="59"/>
  <c r="E103" i="59"/>
  <c r="F74" i="59"/>
  <c r="F78" i="59"/>
  <c r="F80" i="59" s="1"/>
  <c r="E61" i="59"/>
  <c r="E74" i="59" s="1"/>
  <c r="E78" i="59" s="1"/>
  <c r="F71" i="59"/>
  <c r="I71" i="18"/>
  <c r="I58" i="18"/>
  <c r="I42" i="18"/>
  <c r="I29" i="18"/>
  <c r="F29" i="18"/>
  <c r="I16" i="18"/>
  <c r="F61" i="59"/>
  <c r="F19" i="59"/>
  <c r="F65" i="59"/>
  <c r="F66" i="59" s="1"/>
  <c r="F48" i="59"/>
  <c r="F52" i="59"/>
  <c r="F54" i="59" s="1"/>
  <c r="F58" i="59"/>
  <c r="F29" i="59"/>
  <c r="F42" i="59"/>
  <c r="D149" i="8"/>
  <c r="E150" i="8"/>
  <c r="D134" i="8"/>
  <c r="D131" i="8"/>
  <c r="D128" i="8"/>
  <c r="E126" i="8"/>
  <c r="B119" i="8"/>
  <c r="I53" i="8"/>
  <c r="H87" i="8"/>
  <c r="G86" i="8"/>
  <c r="G88" i="8" s="1"/>
  <c r="D54" i="8"/>
  <c r="J30" i="21"/>
  <c r="B101" i="8"/>
  <c r="C98" i="8"/>
  <c r="D96" i="8"/>
  <c r="B97" i="8"/>
  <c r="B96" i="8"/>
  <c r="E93" i="8"/>
  <c r="C93" i="8"/>
  <c r="F32" i="59"/>
  <c r="F36" i="59" s="1"/>
  <c r="F37" i="59" s="1"/>
  <c r="F38" i="59" s="1"/>
  <c r="E32" i="59"/>
  <c r="E36" i="59" s="1"/>
  <c r="F23" i="59"/>
  <c r="F24" i="59" s="1"/>
  <c r="F10" i="59"/>
  <c r="F12" i="59" s="1"/>
  <c r="G16" i="59" s="1"/>
  <c r="F6" i="59"/>
  <c r="E19" i="59"/>
  <c r="E23" i="59" s="1"/>
  <c r="F16" i="59"/>
  <c r="E6" i="59"/>
  <c r="F170" i="59"/>
  <c r="E164" i="59"/>
  <c r="E166" i="59" s="1"/>
  <c r="G170" i="59" s="1"/>
  <c r="D44" i="58"/>
  <c r="D10" i="48"/>
  <c r="C43" i="48"/>
  <c r="D44" i="49"/>
  <c r="D11" i="49"/>
  <c r="E121" i="59"/>
  <c r="E123" i="59" s="1"/>
  <c r="F113" i="59"/>
  <c r="E107" i="59"/>
  <c r="E108" i="59" s="1"/>
  <c r="F100" i="59"/>
  <c r="E94" i="59"/>
  <c r="E96" i="59" s="1"/>
  <c r="G100" i="59" s="1"/>
  <c r="J100" i="59" s="1"/>
  <c r="E52" i="59"/>
  <c r="E54" i="59" s="1"/>
  <c r="G58" i="59" s="1"/>
  <c r="E10" i="59"/>
  <c r="E12" i="59" s="1"/>
  <c r="E80" i="59" l="1"/>
  <c r="E180" i="61"/>
  <c r="C191" i="61"/>
  <c r="C192" i="61" s="1"/>
  <c r="E106" i="61"/>
  <c r="C91" i="61"/>
  <c r="C92" i="61" s="1"/>
  <c r="E80" i="61"/>
  <c r="E140" i="61"/>
  <c r="D51" i="61"/>
  <c r="D97" i="61" s="1"/>
  <c r="D98" i="61" s="1"/>
  <c r="D99" i="61" s="1"/>
  <c r="J52" i="60"/>
  <c r="J56" i="60"/>
  <c r="F58" i="60"/>
  <c r="J58" i="60" s="1"/>
  <c r="J48" i="60"/>
  <c r="E8" i="60"/>
  <c r="G8" i="60" s="1"/>
  <c r="E6" i="60"/>
  <c r="G6" i="60" s="1"/>
  <c r="F36" i="60"/>
  <c r="H36" i="60" s="1"/>
  <c r="F32" i="60"/>
  <c r="H32" i="60" s="1"/>
  <c r="F33" i="60"/>
  <c r="H33" i="60" s="1"/>
  <c r="F28" i="60"/>
  <c r="H28" i="60" s="1"/>
  <c r="F24" i="60"/>
  <c r="H24" i="60" s="1"/>
  <c r="F22" i="60"/>
  <c r="H22" i="60" s="1"/>
  <c r="F27" i="60"/>
  <c r="H27" i="60" s="1"/>
  <c r="F30" i="60"/>
  <c r="H30" i="60" s="1"/>
  <c r="E40" i="60"/>
  <c r="G40" i="60" s="1"/>
  <c r="F34" i="60"/>
  <c r="H34" i="60" s="1"/>
  <c r="E42" i="60"/>
  <c r="G42" i="60" s="1"/>
  <c r="F12" i="60"/>
  <c r="H12" i="60" s="1"/>
  <c r="D70" i="60"/>
  <c r="D72" i="60" s="1"/>
  <c r="E27" i="60"/>
  <c r="G27" i="60" s="1"/>
  <c r="E25" i="60"/>
  <c r="G25" i="60" s="1"/>
  <c r="E34" i="60"/>
  <c r="G34" i="60" s="1"/>
  <c r="J62" i="60"/>
  <c r="J60" i="60"/>
  <c r="I66" i="60"/>
  <c r="I50" i="60"/>
  <c r="I58" i="60"/>
  <c r="G5" i="60"/>
  <c r="I52" i="60"/>
  <c r="I60" i="60"/>
  <c r="I68" i="60"/>
  <c r="I48" i="60"/>
  <c r="I56" i="60"/>
  <c r="I64" i="60"/>
  <c r="F5" i="60"/>
  <c r="E10" i="60"/>
  <c r="G10" i="60" s="1"/>
  <c r="E12" i="60"/>
  <c r="G12" i="60" s="1"/>
  <c r="E14" i="60"/>
  <c r="G14" i="60" s="1"/>
  <c r="E16" i="60"/>
  <c r="G16" i="60" s="1"/>
  <c r="E18" i="60"/>
  <c r="G18" i="60" s="1"/>
  <c r="E20" i="60"/>
  <c r="G20" i="60" s="1"/>
  <c r="E22" i="60"/>
  <c r="G22" i="60" s="1"/>
  <c r="E24" i="60"/>
  <c r="G24" i="60" s="1"/>
  <c r="E26" i="60"/>
  <c r="G26" i="60" s="1"/>
  <c r="E28" i="60"/>
  <c r="G28" i="60" s="1"/>
  <c r="E31" i="60"/>
  <c r="G31" i="60" s="1"/>
  <c r="E33" i="60"/>
  <c r="G33" i="60" s="1"/>
  <c r="E35" i="60"/>
  <c r="G35" i="60" s="1"/>
  <c r="E37" i="60"/>
  <c r="G37" i="60" s="1"/>
  <c r="E39" i="60"/>
  <c r="G39" i="60" s="1"/>
  <c r="E41" i="60"/>
  <c r="G41" i="60" s="1"/>
  <c r="E43" i="60"/>
  <c r="G43" i="60" s="1"/>
  <c r="E47" i="60"/>
  <c r="I47" i="60" s="1"/>
  <c r="E49" i="60"/>
  <c r="I49" i="60" s="1"/>
  <c r="E51" i="60"/>
  <c r="I51" i="60" s="1"/>
  <c r="E53" i="60"/>
  <c r="I53" i="60" s="1"/>
  <c r="E55" i="60"/>
  <c r="I55" i="60" s="1"/>
  <c r="E57" i="60"/>
  <c r="I57" i="60" s="1"/>
  <c r="E59" i="60"/>
  <c r="I59" i="60" s="1"/>
  <c r="E61" i="60"/>
  <c r="I61" i="60" s="1"/>
  <c r="E63" i="60"/>
  <c r="I63" i="60" s="1"/>
  <c r="E65" i="60"/>
  <c r="I65" i="60" s="1"/>
  <c r="E67" i="60"/>
  <c r="I67" i="60" s="1"/>
  <c r="E69" i="60"/>
  <c r="I69" i="60" s="1"/>
  <c r="G127" i="59"/>
  <c r="I127" i="59" s="1"/>
  <c r="J127" i="59" s="1"/>
  <c r="F135" i="59"/>
  <c r="F136" i="59" s="1"/>
  <c r="E24" i="59"/>
  <c r="E25" i="59" s="1"/>
  <c r="F67" i="59"/>
  <c r="E37" i="59"/>
  <c r="E38" i="59" s="1"/>
  <c r="G42" i="59" s="1"/>
  <c r="I42" i="59" s="1"/>
  <c r="J42" i="59" s="1"/>
  <c r="E65" i="59"/>
  <c r="E66" i="59" s="1"/>
  <c r="E67" i="59" s="1"/>
  <c r="G71" i="59" s="1"/>
  <c r="I71" i="59" s="1"/>
  <c r="F25" i="59"/>
  <c r="I170" i="59"/>
  <c r="J170" i="59" s="1"/>
  <c r="E134" i="59"/>
  <c r="E135" i="59" s="1"/>
  <c r="I58" i="59"/>
  <c r="J58" i="59" s="1"/>
  <c r="I16" i="59"/>
  <c r="J16" i="59" s="1"/>
  <c r="I84" i="59"/>
  <c r="J84" i="59" s="1"/>
  <c r="E109" i="59"/>
  <c r="G113" i="59" s="1"/>
  <c r="J113" i="59" s="1"/>
  <c r="E149" i="59"/>
  <c r="G153" i="59" s="1"/>
  <c r="E136" i="59"/>
  <c r="C84" i="8"/>
  <c r="E84" i="8"/>
  <c r="D83" i="8" s="1"/>
  <c r="E74" i="8"/>
  <c r="D73" i="8"/>
  <c r="C74" i="8"/>
  <c r="B73" i="8"/>
  <c r="D69" i="8"/>
  <c r="D77" i="8" s="1"/>
  <c r="D64" i="8"/>
  <c r="D58" i="8"/>
  <c r="B46" i="8"/>
  <c r="D46" i="8"/>
  <c r="E42" i="8"/>
  <c r="D40" i="8"/>
  <c r="B40" i="8"/>
  <c r="D41" i="8"/>
  <c r="D39" i="8"/>
  <c r="G34" i="8"/>
  <c r="F34" i="8"/>
  <c r="D36" i="8"/>
  <c r="O31" i="51"/>
  <c r="D28" i="58"/>
  <c r="C87" i="58"/>
  <c r="C88" i="58" s="1"/>
  <c r="C90" i="58" s="1"/>
  <c r="C84" i="58"/>
  <c r="E73" i="58"/>
  <c r="D56" i="58"/>
  <c r="D55" i="58"/>
  <c r="D54" i="58"/>
  <c r="D53" i="58"/>
  <c r="D43" i="58"/>
  <c r="D42" i="58"/>
  <c r="D22" i="58"/>
  <c r="D21" i="58"/>
  <c r="D17" i="58"/>
  <c r="D12" i="58"/>
  <c r="D10" i="58"/>
  <c r="E6" i="55"/>
  <c r="D168" i="49"/>
  <c r="D143" i="49"/>
  <c r="D109" i="49"/>
  <c r="D112" i="49"/>
  <c r="D151" i="49" s="1"/>
  <c r="D197" i="49" s="1"/>
  <c r="D198" i="49" s="1"/>
  <c r="D199" i="49" s="1"/>
  <c r="D110" i="49"/>
  <c r="D113" i="49"/>
  <c r="D114" i="49"/>
  <c r="D115" i="49"/>
  <c r="D116" i="49"/>
  <c r="D117" i="49"/>
  <c r="D169" i="49" s="1"/>
  <c r="D118" i="49"/>
  <c r="D120" i="49"/>
  <c r="D123" i="49"/>
  <c r="D124" i="49"/>
  <c r="D125" i="49"/>
  <c r="D126" i="49"/>
  <c r="D127" i="49"/>
  <c r="D128" i="49"/>
  <c r="D129" i="49"/>
  <c r="D130" i="49"/>
  <c r="D131" i="49"/>
  <c r="D153" i="49" s="1"/>
  <c r="D132" i="49"/>
  <c r="D133" i="49"/>
  <c r="D134" i="49"/>
  <c r="D135" i="49"/>
  <c r="D136" i="49"/>
  <c r="D137" i="49"/>
  <c r="D138" i="49"/>
  <c r="D139" i="49"/>
  <c r="D108" i="49"/>
  <c r="D154" i="49"/>
  <c r="D156" i="49"/>
  <c r="C187" i="49"/>
  <c r="C188" i="49" s="1"/>
  <c r="C190" i="49" s="1"/>
  <c r="C184" i="49"/>
  <c r="C185" i="49" s="1"/>
  <c r="E173" i="49"/>
  <c r="D155" i="49"/>
  <c r="D148" i="49"/>
  <c r="D142" i="49"/>
  <c r="F12" i="57"/>
  <c r="F6" i="57"/>
  <c r="F10" i="57" s="1"/>
  <c r="D22" i="49"/>
  <c r="D144" i="49"/>
  <c r="O44" i="51"/>
  <c r="O45" i="51"/>
  <c r="O46" i="51"/>
  <c r="O47" i="51"/>
  <c r="O48" i="51"/>
  <c r="O49" i="51"/>
  <c r="O50" i="51"/>
  <c r="O51" i="51"/>
  <c r="O52" i="51"/>
  <c r="O53" i="51"/>
  <c r="O55" i="51"/>
  <c r="O56" i="51"/>
  <c r="O27" i="51"/>
  <c r="O28" i="51"/>
  <c r="O29" i="51"/>
  <c r="O30" i="51"/>
  <c r="O32" i="51"/>
  <c r="O33" i="51"/>
  <c r="O34" i="51"/>
  <c r="O35" i="51"/>
  <c r="O26" i="51"/>
  <c r="C30" i="51"/>
  <c r="G87" i="51"/>
  <c r="H87" i="51"/>
  <c r="I87" i="51"/>
  <c r="J87" i="51"/>
  <c r="K87" i="51"/>
  <c r="L87" i="51"/>
  <c r="M87" i="51"/>
  <c r="F87" i="51"/>
  <c r="D51" i="53"/>
  <c r="E51" i="48"/>
  <c r="D51" i="48"/>
  <c r="F51" i="48" s="1"/>
  <c r="J51" i="48" s="1"/>
  <c r="F37" i="16"/>
  <c r="A9" i="53"/>
  <c r="E40" i="61" l="1"/>
  <c r="J59" i="60"/>
  <c r="J65" i="60"/>
  <c r="J67" i="60"/>
  <c r="J51" i="60"/>
  <c r="J49" i="60"/>
  <c r="J69" i="60"/>
  <c r="H5" i="60"/>
  <c r="H70" i="60" s="1"/>
  <c r="J55" i="60"/>
  <c r="J61" i="60"/>
  <c r="G70" i="60"/>
  <c r="J57" i="60"/>
  <c r="J47" i="60"/>
  <c r="J53" i="60"/>
  <c r="J63" i="60"/>
  <c r="G140" i="59"/>
  <c r="I140" i="59" s="1"/>
  <c r="J140" i="59" s="1"/>
  <c r="J71" i="59"/>
  <c r="G29" i="59"/>
  <c r="I29" i="59" s="1"/>
  <c r="I153" i="59"/>
  <c r="J153" i="59" s="1"/>
  <c r="E75" i="8"/>
  <c r="I34" i="8"/>
  <c r="C91" i="58"/>
  <c r="C92" i="58" s="1"/>
  <c r="E80" i="58"/>
  <c r="D51" i="58"/>
  <c r="D68" i="58"/>
  <c r="D69" i="58"/>
  <c r="C85" i="58"/>
  <c r="E140" i="49"/>
  <c r="E180" i="49"/>
  <c r="C191" i="49"/>
  <c r="C192" i="49" s="1"/>
  <c r="F8" i="57"/>
  <c r="I51" i="48"/>
  <c r="K23" i="52"/>
  <c r="K12" i="52"/>
  <c r="K11" i="52"/>
  <c r="K6" i="52"/>
  <c r="J92" i="51"/>
  <c r="I92" i="51"/>
  <c r="H92" i="51"/>
  <c r="G92" i="51"/>
  <c r="F92" i="51"/>
  <c r="E92" i="51"/>
  <c r="D92" i="51"/>
  <c r="G26" i="50"/>
  <c r="G90" i="50" s="1"/>
  <c r="D95" i="50" s="1"/>
  <c r="E95" i="50"/>
  <c r="M90" i="50"/>
  <c r="J95" i="50" s="1"/>
  <c r="L90" i="50"/>
  <c r="I95" i="50" s="1"/>
  <c r="K90" i="50"/>
  <c r="H95" i="50" s="1"/>
  <c r="J90" i="50"/>
  <c r="G95" i="50" s="1"/>
  <c r="I90" i="50"/>
  <c r="F95" i="50" s="1"/>
  <c r="H90" i="50"/>
  <c r="N87" i="50"/>
  <c r="N88" i="50" s="1"/>
  <c r="N89" i="50" s="1"/>
  <c r="N86" i="50"/>
  <c r="N44" i="50"/>
  <c r="N45" i="50" s="1"/>
  <c r="N46" i="50" s="1"/>
  <c r="N47" i="50" s="1"/>
  <c r="N48" i="50" s="1"/>
  <c r="N49" i="50" s="1"/>
  <c r="N43" i="50"/>
  <c r="N50" i="50" s="1"/>
  <c r="N42" i="50"/>
  <c r="N38" i="50"/>
  <c r="N39" i="50" s="1"/>
  <c r="N40" i="50" s="1"/>
  <c r="N41" i="50" s="1"/>
  <c r="N36" i="50"/>
  <c r="N37" i="50" s="1"/>
  <c r="O35" i="50"/>
  <c r="O34" i="50"/>
  <c r="O33" i="50"/>
  <c r="O32" i="50"/>
  <c r="O31" i="50"/>
  <c r="O30" i="50"/>
  <c r="L28" i="50"/>
  <c r="C87" i="49"/>
  <c r="C88" i="49" s="1"/>
  <c r="C90" i="49" s="1"/>
  <c r="C84" i="49"/>
  <c r="E73" i="49"/>
  <c r="D56" i="49"/>
  <c r="D55" i="49"/>
  <c r="D54" i="49"/>
  <c r="D53" i="49"/>
  <c r="D42" i="49"/>
  <c r="G72" i="60" l="1"/>
  <c r="H71" i="60"/>
  <c r="H72" i="60" s="1"/>
  <c r="J29" i="59"/>
  <c r="E40" i="58"/>
  <c r="D97" i="58"/>
  <c r="D98" i="58" s="1"/>
  <c r="D99" i="58" s="1"/>
  <c r="K92" i="51"/>
  <c r="C92" i="51"/>
  <c r="F27" i="50"/>
  <c r="F90" i="50" s="1"/>
  <c r="C95" i="50" s="1"/>
  <c r="O91" i="50"/>
  <c r="E80" i="49"/>
  <c r="C91" i="49"/>
  <c r="C92" i="49" s="1"/>
  <c r="C85" i="49"/>
  <c r="D6" i="48" l="1"/>
  <c r="D6" i="53" s="1"/>
  <c r="C54" i="48"/>
  <c r="C54" i="53" s="1"/>
  <c r="C12" i="48"/>
  <c r="C31" i="48"/>
  <c r="C31" i="53" s="1"/>
  <c r="I27" i="16"/>
  <c r="J27" i="16" s="1"/>
  <c r="E26" i="16" s="1"/>
  <c r="C16" i="48" s="1"/>
  <c r="E20" i="16"/>
  <c r="F19" i="16"/>
  <c r="D13" i="48" s="1"/>
  <c r="E6" i="16"/>
  <c r="S7" i="52" s="1"/>
  <c r="S8" i="52" s="1"/>
  <c r="E3" i="16"/>
  <c r="C40" i="48" s="1"/>
  <c r="C7" i="48"/>
  <c r="D7" i="48"/>
  <c r="D7" i="53" s="1"/>
  <c r="C8" i="48"/>
  <c r="C8" i="53" s="1"/>
  <c r="E8" i="53" s="1"/>
  <c r="G8" i="53" s="1"/>
  <c r="D8" i="48"/>
  <c r="D8" i="53" s="1"/>
  <c r="F8" i="53" s="1"/>
  <c r="H8" i="53" s="1"/>
  <c r="C9" i="48"/>
  <c r="C9" i="53" s="1"/>
  <c r="C10" i="48"/>
  <c r="C10" i="53" s="1"/>
  <c r="C11" i="48"/>
  <c r="C11" i="53" s="1"/>
  <c r="E11" i="53" s="1"/>
  <c r="G11" i="53" s="1"/>
  <c r="D11" i="48"/>
  <c r="D11" i="53" s="1"/>
  <c r="D12" i="48"/>
  <c r="D12" i="53" s="1"/>
  <c r="C13" i="48"/>
  <c r="C13" i="53" s="1"/>
  <c r="C14" i="48"/>
  <c r="C14" i="53" s="1"/>
  <c r="D14" i="48"/>
  <c r="D14" i="53" s="1"/>
  <c r="C15" i="48"/>
  <c r="D15" i="48"/>
  <c r="D15" i="53" s="1"/>
  <c r="D16" i="48"/>
  <c r="D16" i="53" s="1"/>
  <c r="D17" i="48"/>
  <c r="D17" i="53" s="1"/>
  <c r="C18" i="48"/>
  <c r="C18" i="53" s="1"/>
  <c r="D18" i="48"/>
  <c r="D18" i="53" s="1"/>
  <c r="C19" i="48"/>
  <c r="D19" i="48"/>
  <c r="D19" i="53" s="1"/>
  <c r="C20" i="48"/>
  <c r="C20" i="53" s="1"/>
  <c r="D20" i="48"/>
  <c r="C21" i="48"/>
  <c r="D21" i="48"/>
  <c r="D21" i="53" s="1"/>
  <c r="C22" i="48"/>
  <c r="C22" i="53" s="1"/>
  <c r="C23" i="48"/>
  <c r="D23" i="48"/>
  <c r="D23" i="53" s="1"/>
  <c r="C24" i="48"/>
  <c r="C24" i="53" s="1"/>
  <c r="D24" i="48"/>
  <c r="D24" i="53" s="1"/>
  <c r="C25" i="48"/>
  <c r="C25" i="53" s="1"/>
  <c r="D25" i="48"/>
  <c r="D25" i="53" s="1"/>
  <c r="C27" i="48"/>
  <c r="D27" i="48"/>
  <c r="D27" i="53" s="1"/>
  <c r="C28" i="48"/>
  <c r="C28" i="53" s="1"/>
  <c r="D28" i="48"/>
  <c r="C29" i="48"/>
  <c r="C29" i="53" s="1"/>
  <c r="D29" i="48"/>
  <c r="D29" i="53" s="1"/>
  <c r="C30" i="48"/>
  <c r="C30" i="53" s="1"/>
  <c r="D30" i="48"/>
  <c r="D31" i="48"/>
  <c r="D31" i="53" s="1"/>
  <c r="C32" i="48"/>
  <c r="C32" i="53" s="1"/>
  <c r="D32" i="48"/>
  <c r="D32" i="53" s="1"/>
  <c r="C33" i="48"/>
  <c r="C33" i="53" s="1"/>
  <c r="C34" i="48"/>
  <c r="D34" i="48"/>
  <c r="D34" i="53" s="1"/>
  <c r="C35" i="48"/>
  <c r="C35" i="53" s="1"/>
  <c r="C36" i="48"/>
  <c r="C36" i="53" s="1"/>
  <c r="C37" i="48"/>
  <c r="D37" i="48"/>
  <c r="C38" i="48"/>
  <c r="D38" i="48"/>
  <c r="D38" i="53" s="1"/>
  <c r="C39" i="48"/>
  <c r="C39" i="53" s="1"/>
  <c r="C41" i="48"/>
  <c r="C42" i="48"/>
  <c r="D42" i="48"/>
  <c r="D42" i="53" s="1"/>
  <c r="D43" i="48"/>
  <c r="C44" i="48"/>
  <c r="C44" i="53" s="1"/>
  <c r="D44" i="48"/>
  <c r="C45" i="48"/>
  <c r="D45" i="48"/>
  <c r="D45" i="53" s="1"/>
  <c r="C46" i="48"/>
  <c r="C46" i="53" s="1"/>
  <c r="D46" i="48"/>
  <c r="C47" i="48"/>
  <c r="D47" i="48"/>
  <c r="D47" i="53" s="1"/>
  <c r="D48" i="48"/>
  <c r="D48" i="53" s="1"/>
  <c r="C49" i="48"/>
  <c r="D49" i="48"/>
  <c r="D49" i="53" s="1"/>
  <c r="C50" i="48"/>
  <c r="D50" i="48"/>
  <c r="D50" i="53" s="1"/>
  <c r="C52" i="48"/>
  <c r="D52" i="48"/>
  <c r="D52" i="53" s="1"/>
  <c r="C53" i="48"/>
  <c r="C53" i="53" s="1"/>
  <c r="D53" i="48"/>
  <c r="D54" i="48"/>
  <c r="D54" i="53" s="1"/>
  <c r="C55" i="48"/>
  <c r="C55" i="53" s="1"/>
  <c r="D55" i="48"/>
  <c r="C56" i="48"/>
  <c r="D56" i="48"/>
  <c r="D56" i="53" s="1"/>
  <c r="C57" i="48"/>
  <c r="C57" i="53" s="1"/>
  <c r="D57" i="48"/>
  <c r="C58" i="48"/>
  <c r="D58" i="48"/>
  <c r="D58" i="53" s="1"/>
  <c r="C59" i="48"/>
  <c r="C59" i="53" s="1"/>
  <c r="D59" i="48"/>
  <c r="D60" i="48"/>
  <c r="D60" i="53" s="1"/>
  <c r="C61" i="48"/>
  <c r="C61" i="53" s="1"/>
  <c r="D61" i="48"/>
  <c r="C62" i="48"/>
  <c r="D62" i="48"/>
  <c r="D62" i="53" s="1"/>
  <c r="C63" i="48"/>
  <c r="C63" i="53" s="1"/>
  <c r="D63" i="48"/>
  <c r="C64" i="48"/>
  <c r="C64" i="53" s="1"/>
  <c r="C65" i="48"/>
  <c r="C65" i="53" s="1"/>
  <c r="D65" i="48"/>
  <c r="E63" i="48"/>
  <c r="F56" i="48"/>
  <c r="F54" i="48"/>
  <c r="F52" i="48"/>
  <c r="F49" i="48"/>
  <c r="F45" i="48"/>
  <c r="F38" i="48"/>
  <c r="H38" i="48" s="1"/>
  <c r="E37" i="48"/>
  <c r="G37" i="48" s="1"/>
  <c r="F31" i="48"/>
  <c r="H31" i="48" s="1"/>
  <c r="E30" i="48"/>
  <c r="G30" i="48" s="1"/>
  <c r="E28" i="48"/>
  <c r="G28" i="48" s="1"/>
  <c r="F27" i="48"/>
  <c r="H27" i="48" s="1"/>
  <c r="F25" i="48"/>
  <c r="H25" i="48" s="1"/>
  <c r="E25" i="48"/>
  <c r="G25" i="48" s="1"/>
  <c r="H24" i="48"/>
  <c r="F24" i="48"/>
  <c r="E24" i="48"/>
  <c r="G24" i="48" s="1"/>
  <c r="E23" i="48"/>
  <c r="G23" i="48" s="1"/>
  <c r="E20" i="48"/>
  <c r="G20" i="48" s="1"/>
  <c r="F19" i="48"/>
  <c r="H19" i="48" s="1"/>
  <c r="F18" i="48"/>
  <c r="H18" i="48" s="1"/>
  <c r="E18" i="48"/>
  <c r="G18" i="48" s="1"/>
  <c r="E15" i="48"/>
  <c r="G15" i="48" s="1"/>
  <c r="F11" i="48"/>
  <c r="H11" i="48" s="1"/>
  <c r="A9" i="48"/>
  <c r="F8" i="48"/>
  <c r="H8" i="48" s="1"/>
  <c r="E8" i="48"/>
  <c r="G8" i="48" s="1"/>
  <c r="E7" i="48"/>
  <c r="G7" i="48" s="1"/>
  <c r="E130" i="18"/>
  <c r="E143" i="18" s="1"/>
  <c r="E147" i="18" s="1"/>
  <c r="E103" i="18"/>
  <c r="E107" i="18" s="1"/>
  <c r="F153" i="18"/>
  <c r="F140" i="18"/>
  <c r="E134" i="18"/>
  <c r="F127" i="18"/>
  <c r="E121" i="18"/>
  <c r="E123" i="18" s="1"/>
  <c r="G127" i="18" s="1"/>
  <c r="F113" i="18"/>
  <c r="F100" i="18"/>
  <c r="E94" i="18"/>
  <c r="E96" i="18" s="1"/>
  <c r="G100" i="18" s="1"/>
  <c r="F84" i="18"/>
  <c r="E78" i="18"/>
  <c r="F71" i="18"/>
  <c r="E65" i="18"/>
  <c r="F58" i="18"/>
  <c r="E52" i="18"/>
  <c r="E54" i="18" s="1"/>
  <c r="G58" i="18" s="1"/>
  <c r="F42" i="18"/>
  <c r="E36" i="18"/>
  <c r="E37" i="18" s="1"/>
  <c r="E38" i="18" s="1"/>
  <c r="G42" i="18" s="1"/>
  <c r="F16" i="18"/>
  <c r="E23" i="18"/>
  <c r="D6" i="15"/>
  <c r="C30" i="15"/>
  <c r="J20" i="21"/>
  <c r="C29" i="15"/>
  <c r="D29" i="15"/>
  <c r="C16" i="15"/>
  <c r="C17" i="15"/>
  <c r="E14" i="53" l="1"/>
  <c r="G14" i="53" s="1"/>
  <c r="E32" i="53"/>
  <c r="G32" i="53" s="1"/>
  <c r="F29" i="53"/>
  <c r="H29" i="53" s="1"/>
  <c r="F24" i="53"/>
  <c r="H24" i="53" s="1"/>
  <c r="E18" i="53"/>
  <c r="G18" i="53" s="1"/>
  <c r="F25" i="53"/>
  <c r="H25" i="53" s="1"/>
  <c r="E46" i="48"/>
  <c r="E58" i="48"/>
  <c r="C58" i="53"/>
  <c r="E58" i="53" s="1"/>
  <c r="E56" i="48"/>
  <c r="J56" i="48" s="1"/>
  <c r="C56" i="53"/>
  <c r="E56" i="53" s="1"/>
  <c r="E54" i="48"/>
  <c r="E52" i="48"/>
  <c r="C52" i="53"/>
  <c r="E52" i="53" s="1"/>
  <c r="E49" i="48"/>
  <c r="C49" i="53"/>
  <c r="E49" i="53" s="1"/>
  <c r="F46" i="48"/>
  <c r="J46" i="48" s="1"/>
  <c r="D46" i="53"/>
  <c r="F46" i="53" s="1"/>
  <c r="E44" i="48"/>
  <c r="D44" i="53"/>
  <c r="F44" i="53" s="1"/>
  <c r="E38" i="48"/>
  <c r="G38" i="48" s="1"/>
  <c r="C38" i="53"/>
  <c r="E38" i="53" s="1"/>
  <c r="G38" i="53" s="1"/>
  <c r="F32" i="53"/>
  <c r="H32" i="53" s="1"/>
  <c r="E25" i="53"/>
  <c r="G25" i="53" s="1"/>
  <c r="F23" i="48"/>
  <c r="H23" i="48" s="1"/>
  <c r="C23" i="53"/>
  <c r="E23" i="53" s="1"/>
  <c r="G23" i="53" s="1"/>
  <c r="F20" i="48"/>
  <c r="H20" i="48" s="1"/>
  <c r="D20" i="53"/>
  <c r="F20" i="53" s="1"/>
  <c r="H20" i="53" s="1"/>
  <c r="F18" i="53"/>
  <c r="H18" i="53" s="1"/>
  <c r="E62" i="48"/>
  <c r="C62" i="53"/>
  <c r="E62" i="53" s="1"/>
  <c r="F59" i="48"/>
  <c r="D59" i="53"/>
  <c r="F59" i="53" s="1"/>
  <c r="F57" i="48"/>
  <c r="D57" i="53"/>
  <c r="F57" i="53" s="1"/>
  <c r="F55" i="48"/>
  <c r="D55" i="53"/>
  <c r="F55" i="53" s="1"/>
  <c r="F53" i="48"/>
  <c r="D53" i="53"/>
  <c r="F53" i="53" s="1"/>
  <c r="E44" i="53"/>
  <c r="I44" i="53" s="1"/>
  <c r="F7" i="48"/>
  <c r="H7" i="48" s="1"/>
  <c r="C7" i="53"/>
  <c r="E7" i="53" s="1"/>
  <c r="G7" i="53" s="1"/>
  <c r="F63" i="48"/>
  <c r="J63" i="48" s="1"/>
  <c r="D63" i="53"/>
  <c r="F63" i="53" s="1"/>
  <c r="F61" i="48"/>
  <c r="D61" i="53"/>
  <c r="F61" i="53" s="1"/>
  <c r="E59" i="53"/>
  <c r="I59" i="53" s="1"/>
  <c r="E53" i="53"/>
  <c r="E50" i="48"/>
  <c r="F37" i="48"/>
  <c r="H37" i="48" s="1"/>
  <c r="C37" i="53"/>
  <c r="E34" i="48"/>
  <c r="G34" i="48" s="1"/>
  <c r="C34" i="53"/>
  <c r="E34" i="53" s="1"/>
  <c r="G34" i="53" s="1"/>
  <c r="E29" i="53"/>
  <c r="G29" i="53" s="1"/>
  <c r="E27" i="48"/>
  <c r="G27" i="48" s="1"/>
  <c r="C27" i="53"/>
  <c r="E27" i="53" s="1"/>
  <c r="G27" i="53" s="1"/>
  <c r="E24" i="53"/>
  <c r="G24" i="53" s="1"/>
  <c r="E53" i="48"/>
  <c r="F65" i="48"/>
  <c r="D65" i="53"/>
  <c r="F65" i="53" s="1"/>
  <c r="E63" i="53"/>
  <c r="E61" i="53"/>
  <c r="I61" i="53" s="1"/>
  <c r="F58" i="53"/>
  <c r="J58" i="53" s="1"/>
  <c r="F52" i="53"/>
  <c r="J52" i="53" s="1"/>
  <c r="E47" i="48"/>
  <c r="C47" i="53"/>
  <c r="E47" i="53" s="1"/>
  <c r="E45" i="48"/>
  <c r="I45" i="48" s="1"/>
  <c r="C45" i="53"/>
  <c r="E45" i="53" s="1"/>
  <c r="F38" i="53"/>
  <c r="H38" i="53" s="1"/>
  <c r="F30" i="48"/>
  <c r="H30" i="48" s="1"/>
  <c r="D30" i="53"/>
  <c r="F30" i="53" s="1"/>
  <c r="H30" i="53" s="1"/>
  <c r="F28" i="48"/>
  <c r="H28" i="48" s="1"/>
  <c r="D28" i="53"/>
  <c r="F28" i="53" s="1"/>
  <c r="H28" i="53" s="1"/>
  <c r="F23" i="53"/>
  <c r="H23" i="53" s="1"/>
  <c r="F21" i="48"/>
  <c r="H21" i="48" s="1"/>
  <c r="C21" i="53"/>
  <c r="E21" i="53" s="1"/>
  <c r="G21" i="53" s="1"/>
  <c r="E19" i="48"/>
  <c r="G19" i="48" s="1"/>
  <c r="C19" i="53"/>
  <c r="E19" i="53" s="1"/>
  <c r="G19" i="53" s="1"/>
  <c r="D13" i="53"/>
  <c r="F13" i="53" s="1"/>
  <c r="H13" i="53" s="1"/>
  <c r="F13" i="48"/>
  <c r="H13" i="48" s="1"/>
  <c r="E13" i="48"/>
  <c r="G13" i="48" s="1"/>
  <c r="C40" i="53"/>
  <c r="F16" i="48"/>
  <c r="H16" i="48" s="1"/>
  <c r="C16" i="53"/>
  <c r="E16" i="53" s="1"/>
  <c r="G16" i="53" s="1"/>
  <c r="F31" i="53"/>
  <c r="H31" i="53" s="1"/>
  <c r="E31" i="53"/>
  <c r="G31" i="53" s="1"/>
  <c r="F54" i="53"/>
  <c r="E54" i="53"/>
  <c r="E42" i="48"/>
  <c r="G42" i="48" s="1"/>
  <c r="C42" i="53"/>
  <c r="E42" i="53" s="1"/>
  <c r="G42" i="53" s="1"/>
  <c r="D10" i="49"/>
  <c r="D68" i="49" s="1"/>
  <c r="E31" i="48"/>
  <c r="G31" i="48" s="1"/>
  <c r="F14" i="53"/>
  <c r="H14" i="53" s="1"/>
  <c r="F11" i="53"/>
  <c r="H11" i="53" s="1"/>
  <c r="E27" i="16"/>
  <c r="C17" i="48" s="1"/>
  <c r="E17" i="48" s="1"/>
  <c r="G17" i="48" s="1"/>
  <c r="E12" i="48"/>
  <c r="G12" i="48" s="1"/>
  <c r="C12" i="53"/>
  <c r="E12" i="53" s="1"/>
  <c r="G12" i="53" s="1"/>
  <c r="F42" i="48"/>
  <c r="H42" i="48" s="1"/>
  <c r="C41" i="53"/>
  <c r="F16" i="53"/>
  <c r="H16" i="53" s="1"/>
  <c r="K7" i="52"/>
  <c r="S9" i="52"/>
  <c r="D43" i="49" s="1"/>
  <c r="C5" i="48"/>
  <c r="F15" i="48"/>
  <c r="H15" i="48" s="1"/>
  <c r="C15" i="53"/>
  <c r="E15" i="53" s="1"/>
  <c r="G15" i="53" s="1"/>
  <c r="D43" i="53"/>
  <c r="E11" i="48"/>
  <c r="G11" i="48" s="1"/>
  <c r="F14" i="48"/>
  <c r="H14" i="48" s="1"/>
  <c r="F15" i="53"/>
  <c r="H15" i="53" s="1"/>
  <c r="E65" i="48"/>
  <c r="I65" i="48" s="1"/>
  <c r="J65" i="48"/>
  <c r="E16" i="48"/>
  <c r="G16" i="48" s="1"/>
  <c r="F12" i="48"/>
  <c r="H12" i="48" s="1"/>
  <c r="E57" i="48"/>
  <c r="J57" i="48" s="1"/>
  <c r="E61" i="48"/>
  <c r="I61" i="48" s="1"/>
  <c r="F58" i="48"/>
  <c r="I58" i="48" s="1"/>
  <c r="F62" i="48"/>
  <c r="J62" i="48" s="1"/>
  <c r="E55" i="48"/>
  <c r="J55" i="48" s="1"/>
  <c r="E59" i="48"/>
  <c r="J61" i="48"/>
  <c r="F50" i="48"/>
  <c r="J50" i="48" s="1"/>
  <c r="F47" i="48"/>
  <c r="J47" i="48" s="1"/>
  <c r="F34" i="48"/>
  <c r="H34" i="48" s="1"/>
  <c r="F32" i="48"/>
  <c r="H32" i="48" s="1"/>
  <c r="E21" i="48"/>
  <c r="G21" i="48" s="1"/>
  <c r="E14" i="48"/>
  <c r="G14" i="48" s="1"/>
  <c r="E32" i="48"/>
  <c r="G32" i="48" s="1"/>
  <c r="J49" i="48"/>
  <c r="J52" i="48"/>
  <c r="J54" i="48"/>
  <c r="J45" i="48"/>
  <c r="E29" i="48"/>
  <c r="G29" i="48" s="1"/>
  <c r="F44" i="48"/>
  <c r="J44" i="48" s="1"/>
  <c r="I46" i="48"/>
  <c r="I49" i="48"/>
  <c r="D12" i="49" s="1"/>
  <c r="I52" i="48"/>
  <c r="I53" i="48"/>
  <c r="D17" i="49" s="1"/>
  <c r="K17" i="52" s="1"/>
  <c r="I54" i="48"/>
  <c r="D21" i="49" s="1"/>
  <c r="I56" i="48"/>
  <c r="I57" i="48"/>
  <c r="I63" i="48"/>
  <c r="I127" i="18"/>
  <c r="J127" i="18"/>
  <c r="E148" i="18"/>
  <c r="E149" i="18" s="1"/>
  <c r="G153" i="18" s="1"/>
  <c r="E135" i="18"/>
  <c r="E136" i="18" s="1"/>
  <c r="G140" i="18" s="1"/>
  <c r="O38" i="51" s="1"/>
  <c r="J100" i="18"/>
  <c r="E108" i="18"/>
  <c r="E109" i="18" s="1"/>
  <c r="G113" i="18" s="1"/>
  <c r="E24" i="18"/>
  <c r="J58" i="18"/>
  <c r="E79" i="18"/>
  <c r="E80" i="18" s="1"/>
  <c r="G84" i="18" s="1"/>
  <c r="E66" i="18"/>
  <c r="E67" i="18" s="1"/>
  <c r="G71" i="18" s="1"/>
  <c r="O40" i="51" s="1"/>
  <c r="J42" i="18" l="1"/>
  <c r="E25" i="18"/>
  <c r="G29" i="18" s="1"/>
  <c r="D7" i="58"/>
  <c r="D7" i="49"/>
  <c r="D107" i="49" s="1"/>
  <c r="K16" i="52"/>
  <c r="I53" i="53"/>
  <c r="I63" i="53"/>
  <c r="I62" i="48"/>
  <c r="J58" i="48"/>
  <c r="I47" i="48"/>
  <c r="E28" i="53"/>
  <c r="G28" i="53" s="1"/>
  <c r="F49" i="53"/>
  <c r="J49" i="53" s="1"/>
  <c r="F47" i="53"/>
  <c r="J47" i="53" s="1"/>
  <c r="E55" i="53"/>
  <c r="I55" i="53" s="1"/>
  <c r="E65" i="53"/>
  <c r="I65" i="53" s="1"/>
  <c r="I54" i="53"/>
  <c r="D51" i="49"/>
  <c r="D97" i="49" s="1"/>
  <c r="D98" i="49" s="1"/>
  <c r="D99" i="49" s="1"/>
  <c r="E13" i="53"/>
  <c r="G13" i="53" s="1"/>
  <c r="F19" i="53"/>
  <c r="H19" i="53" s="1"/>
  <c r="J63" i="53"/>
  <c r="J53" i="48"/>
  <c r="I59" i="48"/>
  <c r="F42" i="53"/>
  <c r="H42" i="53" s="1"/>
  <c r="F56" i="53"/>
  <c r="J56" i="53" s="1"/>
  <c r="F21" i="53"/>
  <c r="H21" i="53" s="1"/>
  <c r="F27" i="53"/>
  <c r="H27" i="53" s="1"/>
  <c r="E46" i="53"/>
  <c r="I46" i="53" s="1"/>
  <c r="J55" i="53"/>
  <c r="J59" i="53"/>
  <c r="F7" i="53"/>
  <c r="H7" i="53" s="1"/>
  <c r="E30" i="53"/>
  <c r="G30" i="53" s="1"/>
  <c r="J44" i="53"/>
  <c r="F45" i="53"/>
  <c r="J45" i="53" s="1"/>
  <c r="J61" i="53"/>
  <c r="F34" i="53"/>
  <c r="H34" i="53" s="1"/>
  <c r="F62" i="53"/>
  <c r="J62" i="53" s="1"/>
  <c r="I45" i="53"/>
  <c r="J53" i="53"/>
  <c r="I52" i="53"/>
  <c r="D69" i="49"/>
  <c r="I55" i="48"/>
  <c r="E57" i="53"/>
  <c r="I57" i="53" s="1"/>
  <c r="E20" i="53"/>
  <c r="G20" i="53" s="1"/>
  <c r="I58" i="53"/>
  <c r="F17" i="48"/>
  <c r="H17" i="48" s="1"/>
  <c r="C17" i="53"/>
  <c r="J54" i="53"/>
  <c r="F12" i="53"/>
  <c r="H12" i="53" s="1"/>
  <c r="C5" i="53"/>
  <c r="J59" i="48"/>
  <c r="I50" i="48"/>
  <c r="I44" i="48"/>
  <c r="F29" i="48"/>
  <c r="H29" i="48" s="1"/>
  <c r="I153" i="18"/>
  <c r="J153" i="18" s="1"/>
  <c r="I140" i="18"/>
  <c r="J140" i="18" s="1"/>
  <c r="J113" i="18"/>
  <c r="O37" i="51" s="1"/>
  <c r="I84" i="18"/>
  <c r="J84" i="18" s="1"/>
  <c r="J71" i="18"/>
  <c r="D48" i="49" l="1"/>
  <c r="O43" i="51"/>
  <c r="D48" i="58"/>
  <c r="J29" i="18"/>
  <c r="O39" i="51"/>
  <c r="O88" i="51" s="1"/>
  <c r="F7" i="55"/>
  <c r="C51" i="53"/>
  <c r="E40" i="49"/>
  <c r="I49" i="53"/>
  <c r="J46" i="53"/>
  <c r="J65" i="53"/>
  <c r="I62" i="53"/>
  <c r="I47" i="53"/>
  <c r="J57" i="53"/>
  <c r="I56" i="53"/>
  <c r="E17" i="53"/>
  <c r="G17" i="53" s="1"/>
  <c r="F17" i="53"/>
  <c r="H17" i="53" s="1"/>
  <c r="E51" i="53" l="1"/>
  <c r="F51" i="53"/>
  <c r="R5" i="40"/>
  <c r="R6" i="40"/>
  <c r="I7" i="40"/>
  <c r="I21" i="40" s="1"/>
  <c r="J7" i="40"/>
  <c r="J21" i="40" s="1"/>
  <c r="L7" i="40"/>
  <c r="M7" i="40"/>
  <c r="M21" i="40" s="1"/>
  <c r="N7" i="40"/>
  <c r="N21" i="40" s="1"/>
  <c r="O7" i="40"/>
  <c r="O21" i="40" s="1"/>
  <c r="G21" i="40"/>
  <c r="L21" i="40"/>
  <c r="G20" i="40"/>
  <c r="I20" i="40"/>
  <c r="J20" i="40"/>
  <c r="K20" i="40"/>
  <c r="L20" i="40"/>
  <c r="M20" i="40"/>
  <c r="N20" i="40"/>
  <c r="O20" i="40"/>
  <c r="P20" i="40"/>
  <c r="F20" i="40"/>
  <c r="J51" i="53" l="1"/>
  <c r="I51" i="53"/>
  <c r="R19" i="40"/>
  <c r="R18" i="40"/>
  <c r="Q17" i="40"/>
  <c r="R17" i="40"/>
  <c r="R16" i="40"/>
  <c r="R13" i="40"/>
  <c r="R11" i="40"/>
  <c r="G7" i="40"/>
  <c r="P6" i="40"/>
  <c r="P5" i="40"/>
  <c r="B33" i="6"/>
  <c r="H15" i="40" s="1"/>
  <c r="H20" i="40" s="1"/>
  <c r="E135" i="8"/>
  <c r="E132" i="8"/>
  <c r="C32" i="6" s="1"/>
  <c r="B19" i="31" s="1"/>
  <c r="E143" i="8"/>
  <c r="D143" i="8"/>
  <c r="B18" i="31" l="1"/>
  <c r="R15" i="40"/>
  <c r="F7" i="40" l="1"/>
  <c r="F21" i="40" s="1"/>
  <c r="E129" i="8" l="1"/>
  <c r="C31" i="6" s="1"/>
  <c r="H65" i="8" l="1"/>
  <c r="H64" i="8"/>
  <c r="H66" i="8" l="1"/>
  <c r="I67" i="8" s="1"/>
  <c r="C30" i="6" l="1"/>
  <c r="B15" i="31" s="1"/>
  <c r="C26" i="6"/>
  <c r="E25" i="6"/>
  <c r="E22" i="6"/>
  <c r="H11" i="28" l="1"/>
  <c r="E123" i="8" l="1"/>
  <c r="E117" i="8"/>
  <c r="E110" i="8"/>
  <c r="D108" i="8" s="1"/>
  <c r="B104" i="8"/>
  <c r="B105" i="8"/>
  <c r="C102" i="8"/>
  <c r="E90" i="8"/>
  <c r="B83" i="8"/>
  <c r="C87" i="8"/>
  <c r="D70" i="8"/>
  <c r="E78" i="8"/>
  <c r="B64" i="8"/>
  <c r="F64" i="8" s="1"/>
  <c r="E62" i="8"/>
  <c r="E55" i="8"/>
  <c r="I54" i="8" s="1"/>
  <c r="I55" i="8" s="1"/>
  <c r="D112" i="8" s="1"/>
  <c r="E53" i="8"/>
  <c r="J10" i="6"/>
  <c r="I10" i="6"/>
  <c r="E113" i="8" l="1"/>
  <c r="D51" i="8"/>
  <c r="G55" i="8"/>
  <c r="D57" i="8"/>
  <c r="E59" i="8" s="1"/>
  <c r="J11" i="6"/>
  <c r="E140" i="8"/>
  <c r="F7" i="16"/>
  <c r="D40" i="48" s="1"/>
  <c r="D7" i="16"/>
  <c r="D50" i="8" l="1"/>
  <c r="H86" i="8" s="1"/>
  <c r="H88" i="8" s="1"/>
  <c r="D119" i="8" s="1"/>
  <c r="D40" i="53"/>
  <c r="E40" i="48"/>
  <c r="G40" i="48" s="1"/>
  <c r="F40" i="48"/>
  <c r="H40" i="48" s="1"/>
  <c r="C22" i="6"/>
  <c r="B11" i="31"/>
  <c r="E120" i="8" l="1"/>
  <c r="F55" i="8"/>
  <c r="F40" i="53"/>
  <c r="H40" i="53" s="1"/>
  <c r="E40" i="53"/>
  <c r="G40" i="53" s="1"/>
  <c r="C14" i="6"/>
  <c r="E87" i="8" l="1"/>
  <c r="B25" i="6"/>
  <c r="G10" i="29"/>
  <c r="F14" i="24"/>
  <c r="F15" i="24" s="1"/>
  <c r="C14" i="24"/>
  <c r="D9" i="24"/>
  <c r="D14" i="24" l="1"/>
  <c r="F16" i="24"/>
  <c r="E14" i="24" l="1"/>
  <c r="F17" i="24"/>
  <c r="F34" i="16"/>
  <c r="D9" i="48" s="1"/>
  <c r="D34" i="21"/>
  <c r="C33" i="21"/>
  <c r="D15" i="21"/>
  <c r="G28" i="21" s="1"/>
  <c r="H14" i="21"/>
  <c r="F14" i="21"/>
  <c r="E14" i="21"/>
  <c r="G13" i="21"/>
  <c r="G14" i="21" s="1"/>
  <c r="F13" i="21"/>
  <c r="E13" i="21"/>
  <c r="E12" i="21"/>
  <c r="D8" i="21"/>
  <c r="J7" i="21"/>
  <c r="L7" i="21" s="1"/>
  <c r="I7" i="21"/>
  <c r="E7" i="21"/>
  <c r="G18" i="21" s="1"/>
  <c r="C44" i="15" s="1"/>
  <c r="J6" i="21"/>
  <c r="L6" i="21" s="1"/>
  <c r="G6" i="21"/>
  <c r="G7" i="21" s="1"/>
  <c r="E6" i="21"/>
  <c r="J5" i="21"/>
  <c r="L5" i="21" s="1"/>
  <c r="E5" i="21"/>
  <c r="D9" i="53" l="1"/>
  <c r="F9" i="48"/>
  <c r="H9" i="48" s="1"/>
  <c r="E9" i="48"/>
  <c r="G9" i="48" s="1"/>
  <c r="G29" i="21"/>
  <c r="D97" i="8" s="1"/>
  <c r="E15" i="21"/>
  <c r="E8" i="21"/>
  <c r="C15" i="24"/>
  <c r="D15" i="24" s="1"/>
  <c r="F18" i="24"/>
  <c r="M7" i="21"/>
  <c r="J14" i="21"/>
  <c r="L14" i="21" s="1"/>
  <c r="M14" i="21" s="1"/>
  <c r="J13" i="21"/>
  <c r="L13" i="21" s="1"/>
  <c r="M13" i="21" s="1"/>
  <c r="M6" i="21"/>
  <c r="J12" i="21"/>
  <c r="L12" i="21" s="1"/>
  <c r="M12" i="21" s="1"/>
  <c r="M5" i="21"/>
  <c r="G19" i="21"/>
  <c r="H20" i="21"/>
  <c r="D30" i="15" s="1"/>
  <c r="F9" i="53" l="1"/>
  <c r="H9" i="53" s="1"/>
  <c r="E9" i="53"/>
  <c r="G9" i="53" s="1"/>
  <c r="H30" i="21"/>
  <c r="H31" i="21" s="1"/>
  <c r="E98" i="8"/>
  <c r="M8" i="21"/>
  <c r="G33" i="21" s="1"/>
  <c r="H21" i="21"/>
  <c r="C45" i="15"/>
  <c r="E15" i="24"/>
  <c r="F19" i="24"/>
  <c r="G23" i="21"/>
  <c r="M15" i="21"/>
  <c r="G36" i="21" s="1"/>
  <c r="E99" i="8" l="1"/>
  <c r="D105" i="8"/>
  <c r="C29" i="6" s="1"/>
  <c r="D148" i="8"/>
  <c r="H37" i="21"/>
  <c r="D145" i="8"/>
  <c r="H24" i="21"/>
  <c r="E30" i="16"/>
  <c r="C48" i="48" s="1"/>
  <c r="H34" i="21"/>
  <c r="D101" i="8"/>
  <c r="C16" i="24"/>
  <c r="D16" i="24" s="1"/>
  <c r="F20" i="24"/>
  <c r="F28" i="16"/>
  <c r="D41" i="48" s="1"/>
  <c r="F24" i="16"/>
  <c r="D35" i="48" s="1"/>
  <c r="F10" i="16"/>
  <c r="D64" i="48" s="1"/>
  <c r="F4" i="16"/>
  <c r="D39" i="48" s="1"/>
  <c r="C39" i="15"/>
  <c r="D22" i="15"/>
  <c r="E10" i="18"/>
  <c r="E44" i="15"/>
  <c r="F44" i="15"/>
  <c r="E46" i="15"/>
  <c r="I46" i="15" s="1"/>
  <c r="F46" i="15"/>
  <c r="E47" i="15"/>
  <c r="F47" i="15"/>
  <c r="E48" i="15"/>
  <c r="F48" i="15"/>
  <c r="E49" i="15"/>
  <c r="F49" i="15"/>
  <c r="E50" i="15"/>
  <c r="F50" i="15"/>
  <c r="E51" i="15"/>
  <c r="F51" i="15"/>
  <c r="J51" i="15" s="1"/>
  <c r="E52" i="15"/>
  <c r="F52" i="15"/>
  <c r="E53" i="15"/>
  <c r="F53" i="15"/>
  <c r="I53" i="15" s="1"/>
  <c r="E54" i="15"/>
  <c r="F54" i="15"/>
  <c r="E55" i="15"/>
  <c r="F55" i="15"/>
  <c r="E56" i="15"/>
  <c r="F56" i="15"/>
  <c r="E57" i="15"/>
  <c r="F57" i="15"/>
  <c r="E58" i="15"/>
  <c r="F58" i="15"/>
  <c r="E60" i="15"/>
  <c r="F60" i="15"/>
  <c r="E61" i="15"/>
  <c r="F61" i="15"/>
  <c r="E62" i="15"/>
  <c r="F62" i="15"/>
  <c r="E63" i="15"/>
  <c r="F63" i="15"/>
  <c r="E64" i="15"/>
  <c r="F64" i="15"/>
  <c r="F43" i="15"/>
  <c r="E43" i="15"/>
  <c r="F30" i="15"/>
  <c r="H30" i="15" s="1"/>
  <c r="E29" i="15"/>
  <c r="G29" i="15" s="1"/>
  <c r="F29" i="15"/>
  <c r="H29" i="15" s="1"/>
  <c r="E31" i="15"/>
  <c r="G31" i="15" s="1"/>
  <c r="F31" i="15"/>
  <c r="H31" i="15" s="1"/>
  <c r="E32" i="15"/>
  <c r="G32" i="15" s="1"/>
  <c r="F32" i="15"/>
  <c r="H32" i="15" s="1"/>
  <c r="E34" i="15"/>
  <c r="G34" i="15" s="1"/>
  <c r="F34" i="15"/>
  <c r="H34" i="15" s="1"/>
  <c r="E35" i="15"/>
  <c r="G35" i="15" s="1"/>
  <c r="F35" i="15"/>
  <c r="H35" i="15" s="1"/>
  <c r="E36" i="15"/>
  <c r="G36" i="15" s="1"/>
  <c r="F36" i="15"/>
  <c r="H36" i="15" s="1"/>
  <c r="E37" i="15"/>
  <c r="G37" i="15" s="1"/>
  <c r="F37" i="15"/>
  <c r="H37" i="15" s="1"/>
  <c r="E38" i="15"/>
  <c r="G38" i="15" s="1"/>
  <c r="F38" i="15"/>
  <c r="H38" i="15" s="1"/>
  <c r="F39" i="15"/>
  <c r="H39" i="15" s="1"/>
  <c r="E41" i="15"/>
  <c r="G41" i="15" s="1"/>
  <c r="F41" i="15"/>
  <c r="H41" i="15" s="1"/>
  <c r="E42" i="15"/>
  <c r="G42" i="15" s="1"/>
  <c r="F42" i="15"/>
  <c r="H42" i="15" s="1"/>
  <c r="E24" i="15"/>
  <c r="G24" i="15" s="1"/>
  <c r="F24" i="15"/>
  <c r="H24" i="15" s="1"/>
  <c r="E25" i="15"/>
  <c r="G25" i="15" s="1"/>
  <c r="F25" i="15"/>
  <c r="H25" i="15" s="1"/>
  <c r="E9" i="15"/>
  <c r="G9" i="15" s="1"/>
  <c r="F9" i="15"/>
  <c r="H9" i="15" s="1"/>
  <c r="E10" i="15"/>
  <c r="G10" i="15" s="1"/>
  <c r="E12" i="16" s="1"/>
  <c r="F10" i="15"/>
  <c r="H10" i="15" s="1"/>
  <c r="E11" i="15"/>
  <c r="G11" i="15" s="1"/>
  <c r="F11" i="15"/>
  <c r="H11" i="15" s="1"/>
  <c r="E12" i="15"/>
  <c r="G12" i="15" s="1"/>
  <c r="F12" i="15"/>
  <c r="H12" i="15" s="1"/>
  <c r="E14" i="15"/>
  <c r="G14" i="15" s="1"/>
  <c r="F14" i="15"/>
  <c r="H14" i="15" s="1"/>
  <c r="E15" i="15"/>
  <c r="G15" i="15" s="1"/>
  <c r="F15" i="15"/>
  <c r="H15" i="15" s="1"/>
  <c r="E16" i="15"/>
  <c r="G16" i="15" s="1"/>
  <c r="F16" i="15"/>
  <c r="H16" i="15" s="1"/>
  <c r="E17" i="15"/>
  <c r="G17" i="15" s="1"/>
  <c r="F17" i="15"/>
  <c r="H17" i="15" s="1"/>
  <c r="E18" i="15"/>
  <c r="G18" i="15" s="1"/>
  <c r="F18" i="15"/>
  <c r="H18" i="15" s="1"/>
  <c r="E19" i="15"/>
  <c r="G19" i="15" s="1"/>
  <c r="F19" i="15"/>
  <c r="H19" i="15" s="1"/>
  <c r="E20" i="15"/>
  <c r="G20" i="15" s="1"/>
  <c r="F20" i="15"/>
  <c r="H20" i="15" s="1"/>
  <c r="E21" i="15"/>
  <c r="G21" i="15" s="1"/>
  <c r="F21" i="15"/>
  <c r="H21" i="15" s="1"/>
  <c r="E23" i="15"/>
  <c r="G23" i="15" s="1"/>
  <c r="F23" i="15"/>
  <c r="H23" i="15" s="1"/>
  <c r="D104" i="8" l="1"/>
  <c r="C28" i="6" s="1"/>
  <c r="B12" i="31" s="1"/>
  <c r="F64" i="48"/>
  <c r="D64" i="53"/>
  <c r="E64" i="48"/>
  <c r="D35" i="53"/>
  <c r="E35" i="48"/>
  <c r="G35" i="48" s="1"/>
  <c r="F35" i="48"/>
  <c r="H35" i="48" s="1"/>
  <c r="E48" i="48"/>
  <c r="C48" i="53"/>
  <c r="F48" i="48"/>
  <c r="C43" i="53"/>
  <c r="E43" i="48"/>
  <c r="F43" i="48"/>
  <c r="F39" i="48"/>
  <c r="H39" i="48" s="1"/>
  <c r="D39" i="53"/>
  <c r="E39" i="48"/>
  <c r="G39" i="48" s="1"/>
  <c r="D41" i="53"/>
  <c r="E41" i="48"/>
  <c r="G41" i="48" s="1"/>
  <c r="F41" i="48"/>
  <c r="H41" i="48" s="1"/>
  <c r="E22" i="15"/>
  <c r="G22" i="15" s="1"/>
  <c r="I48" i="15"/>
  <c r="E146" i="8"/>
  <c r="F31" i="16"/>
  <c r="D36" i="48" s="1"/>
  <c r="E102" i="8"/>
  <c r="J57" i="15"/>
  <c r="J55" i="15"/>
  <c r="I62" i="15"/>
  <c r="I49" i="15"/>
  <c r="I47" i="15"/>
  <c r="I61" i="15"/>
  <c r="I56" i="15"/>
  <c r="J52" i="15"/>
  <c r="J64" i="15"/>
  <c r="J61" i="15"/>
  <c r="J62" i="15"/>
  <c r="I54" i="15"/>
  <c r="I52" i="15"/>
  <c r="I51" i="15"/>
  <c r="J49" i="15"/>
  <c r="J47" i="15"/>
  <c r="J44" i="15"/>
  <c r="I63" i="15"/>
  <c r="I60" i="15"/>
  <c r="I57" i="15"/>
  <c r="J53" i="15"/>
  <c r="E39" i="15"/>
  <c r="G39" i="15" s="1"/>
  <c r="F13" i="16"/>
  <c r="E16" i="24"/>
  <c r="F21" i="24"/>
  <c r="I44" i="15"/>
  <c r="I58" i="15"/>
  <c r="I55" i="15"/>
  <c r="J60" i="15"/>
  <c r="J56" i="15"/>
  <c r="J48" i="15"/>
  <c r="F22" i="15"/>
  <c r="H22" i="15" s="1"/>
  <c r="I64" i="15"/>
  <c r="I50" i="15"/>
  <c r="E12" i="18"/>
  <c r="G16" i="18" s="1"/>
  <c r="E15" i="16" s="1"/>
  <c r="C60" i="48" s="1"/>
  <c r="J63" i="15"/>
  <c r="J58" i="15"/>
  <c r="J54" i="15"/>
  <c r="J50" i="15"/>
  <c r="J46" i="15"/>
  <c r="E30" i="15"/>
  <c r="G30" i="15" s="1"/>
  <c r="J43" i="15"/>
  <c r="I43" i="15"/>
  <c r="E106" i="8" l="1"/>
  <c r="F60" i="48"/>
  <c r="C60" i="53"/>
  <c r="E60" i="48"/>
  <c r="I60" i="48" s="1"/>
  <c r="J43" i="48"/>
  <c r="I48" i="48"/>
  <c r="I64" i="48"/>
  <c r="F41" i="53"/>
  <c r="H41" i="53" s="1"/>
  <c r="E41" i="53"/>
  <c r="G41" i="53" s="1"/>
  <c r="F35" i="53"/>
  <c r="H35" i="53" s="1"/>
  <c r="E35" i="53"/>
  <c r="G35" i="53" s="1"/>
  <c r="D10" i="53"/>
  <c r="F10" i="48"/>
  <c r="H10" i="48" s="1"/>
  <c r="E10" i="48"/>
  <c r="G10" i="48" s="1"/>
  <c r="F48" i="53"/>
  <c r="E48" i="53"/>
  <c r="D36" i="53"/>
  <c r="F36" i="48"/>
  <c r="H36" i="48" s="1"/>
  <c r="E36" i="48"/>
  <c r="G36" i="48" s="1"/>
  <c r="I43" i="48"/>
  <c r="F39" i="53"/>
  <c r="H39" i="53" s="1"/>
  <c r="E39" i="53"/>
  <c r="G39" i="53" s="1"/>
  <c r="E43" i="53"/>
  <c r="F43" i="53"/>
  <c r="E64" i="53"/>
  <c r="F64" i="53"/>
  <c r="J48" i="48"/>
  <c r="J64" i="48"/>
  <c r="C6" i="15"/>
  <c r="C6" i="48" s="1"/>
  <c r="C6" i="53" s="1"/>
  <c r="D92" i="8"/>
  <c r="B27" i="6" s="1"/>
  <c r="B7" i="31" s="1"/>
  <c r="F22" i="24"/>
  <c r="C17" i="24"/>
  <c r="I66" i="48" l="1"/>
  <c r="D11" i="58"/>
  <c r="D111" i="49"/>
  <c r="E106" i="49" s="1"/>
  <c r="F60" i="53"/>
  <c r="J60" i="53" s="1"/>
  <c r="E60" i="53"/>
  <c r="D19" i="49"/>
  <c r="D19" i="58"/>
  <c r="J60" i="48"/>
  <c r="J43" i="53"/>
  <c r="I48" i="53"/>
  <c r="J66" i="48"/>
  <c r="J68" i="48" s="1"/>
  <c r="J64" i="53"/>
  <c r="E6" i="53"/>
  <c r="G6" i="53" s="1"/>
  <c r="F6" i="53"/>
  <c r="H6" i="53" s="1"/>
  <c r="I64" i="53"/>
  <c r="F36" i="53"/>
  <c r="H36" i="53" s="1"/>
  <c r="E36" i="53"/>
  <c r="G36" i="53" s="1"/>
  <c r="I43" i="53"/>
  <c r="J48" i="53"/>
  <c r="F10" i="53"/>
  <c r="H10" i="53" s="1"/>
  <c r="E10" i="53"/>
  <c r="G10" i="53" s="1"/>
  <c r="K7" i="40"/>
  <c r="K21" i="40" s="1"/>
  <c r="P4" i="40"/>
  <c r="P7" i="40" s="1"/>
  <c r="P21" i="40" s="1"/>
  <c r="J16" i="18"/>
  <c r="E47" i="8"/>
  <c r="C16" i="31"/>
  <c r="H7" i="40"/>
  <c r="H21" i="40" s="1"/>
  <c r="F23" i="24"/>
  <c r="D17" i="24"/>
  <c r="E6" i="49" l="1"/>
  <c r="I60" i="53"/>
  <c r="I67" i="48"/>
  <c r="E5" i="49" s="1"/>
  <c r="E105" i="49" s="1"/>
  <c r="E164" i="49" s="1"/>
  <c r="D167" i="49" s="1"/>
  <c r="D170" i="49" s="1"/>
  <c r="D171" i="49" s="1"/>
  <c r="E165" i="49" s="1"/>
  <c r="E172" i="49" s="1"/>
  <c r="F16" i="16"/>
  <c r="D22" i="48" s="1"/>
  <c r="E17" i="24"/>
  <c r="F24" i="24"/>
  <c r="E179" i="49" l="1"/>
  <c r="E193" i="49" s="1"/>
  <c r="E194" i="49" s="1"/>
  <c r="E2" i="55" s="1"/>
  <c r="D176" i="49"/>
  <c r="B14" i="6"/>
  <c r="C15" i="6" s="1"/>
  <c r="I68" i="48"/>
  <c r="E64" i="49"/>
  <c r="D67" i="49" s="1"/>
  <c r="D70" i="49" s="1"/>
  <c r="D71" i="49" s="1"/>
  <c r="D22" i="53"/>
  <c r="E22" i="48"/>
  <c r="G22" i="48" s="1"/>
  <c r="F22" i="48"/>
  <c r="H22" i="48" s="1"/>
  <c r="E139" i="8"/>
  <c r="B35" i="6"/>
  <c r="F25" i="24"/>
  <c r="C18" i="24"/>
  <c r="E65" i="49" l="1"/>
  <c r="E72" i="49" s="1"/>
  <c r="D76" i="49" s="1"/>
  <c r="K22" i="52"/>
  <c r="F22" i="53"/>
  <c r="H22" i="53" s="1"/>
  <c r="E22" i="53"/>
  <c r="G22" i="53" s="1"/>
  <c r="D18" i="24"/>
  <c r="F26" i="24"/>
  <c r="E79" i="49" l="1"/>
  <c r="E93" i="49" s="1"/>
  <c r="E94" i="49" s="1"/>
  <c r="C50" i="53"/>
  <c r="F27" i="24"/>
  <c r="E18" i="24"/>
  <c r="C19" i="24" s="1"/>
  <c r="F7" i="15"/>
  <c r="H7" i="15" s="1"/>
  <c r="E7" i="15"/>
  <c r="G7" i="15" s="1"/>
  <c r="A9" i="15"/>
  <c r="F5" i="15"/>
  <c r="H5" i="15" s="1"/>
  <c r="D33" i="15"/>
  <c r="D33" i="48" s="1"/>
  <c r="F28" i="15"/>
  <c r="H28" i="15" s="1"/>
  <c r="E28" i="15"/>
  <c r="G28" i="15" s="1"/>
  <c r="F27" i="15"/>
  <c r="H27" i="15" s="1"/>
  <c r="E27" i="15"/>
  <c r="G27" i="15" s="1"/>
  <c r="D26" i="15"/>
  <c r="C13" i="15"/>
  <c r="C65" i="15" s="1"/>
  <c r="F8" i="15"/>
  <c r="H8" i="15" s="1"/>
  <c r="E8" i="15"/>
  <c r="G8" i="15" s="1"/>
  <c r="F4" i="55" l="1"/>
  <c r="D33" i="53" s="1"/>
  <c r="E202" i="49"/>
  <c r="F3" i="55" s="1"/>
  <c r="D37" i="53" s="1"/>
  <c r="E50" i="53"/>
  <c r="F50" i="53"/>
  <c r="D65" i="15"/>
  <c r="E18" i="16"/>
  <c r="D26" i="48"/>
  <c r="D26" i="53" s="1"/>
  <c r="E33" i="48"/>
  <c r="F33" i="48"/>
  <c r="F26" i="15"/>
  <c r="H26" i="15" s="1"/>
  <c r="D19" i="24"/>
  <c r="E19" i="24" s="1"/>
  <c r="C20" i="24" s="1"/>
  <c r="F28" i="24"/>
  <c r="E45" i="15"/>
  <c r="F45" i="15"/>
  <c r="E33" i="15"/>
  <c r="G33" i="15" s="1"/>
  <c r="F33" i="15"/>
  <c r="H33" i="15" s="1"/>
  <c r="F13" i="15"/>
  <c r="H13" i="15" s="1"/>
  <c r="E13" i="15"/>
  <c r="G13" i="15" s="1"/>
  <c r="E40" i="15"/>
  <c r="G40" i="15" s="1"/>
  <c r="F40" i="15"/>
  <c r="H40" i="15" s="1"/>
  <c r="E59" i="15"/>
  <c r="F59" i="15"/>
  <c r="E5" i="15"/>
  <c r="G5" i="15" s="1"/>
  <c r="D67" i="15"/>
  <c r="E26" i="15"/>
  <c r="G26" i="15" s="1"/>
  <c r="F6" i="15"/>
  <c r="E6" i="15"/>
  <c r="F33" i="53" l="1"/>
  <c r="H33" i="53" s="1"/>
  <c r="E33" i="53"/>
  <c r="G33" i="53" s="1"/>
  <c r="J50" i="53"/>
  <c r="J66" i="53" s="1"/>
  <c r="J68" i="53" s="1"/>
  <c r="E37" i="53"/>
  <c r="G37" i="53" s="1"/>
  <c r="F37" i="53"/>
  <c r="H37" i="53" s="1"/>
  <c r="I50" i="53"/>
  <c r="D27" i="58" s="1"/>
  <c r="E6" i="58" s="1"/>
  <c r="C26" i="48"/>
  <c r="C26" i="53" s="1"/>
  <c r="F21" i="16"/>
  <c r="D5" i="48" s="1"/>
  <c r="H33" i="48"/>
  <c r="G33" i="48"/>
  <c r="E65" i="15"/>
  <c r="F65" i="15"/>
  <c r="D20" i="24"/>
  <c r="E20" i="24" s="1"/>
  <c r="C21" i="24" s="1"/>
  <c r="F29" i="24"/>
  <c r="I45" i="15"/>
  <c r="J59" i="15"/>
  <c r="J45" i="15"/>
  <c r="J65" i="15" s="1"/>
  <c r="I59" i="15"/>
  <c r="C67" i="15"/>
  <c r="D68" i="15" s="1"/>
  <c r="H6" i="15"/>
  <c r="H65" i="15" s="1"/>
  <c r="G6" i="15"/>
  <c r="G65" i="15" s="1"/>
  <c r="I66" i="53" l="1"/>
  <c r="I67" i="53" s="1"/>
  <c r="E5" i="58" s="1"/>
  <c r="E64" i="58" s="1"/>
  <c r="D67" i="58" s="1"/>
  <c r="D70" i="58" s="1"/>
  <c r="D71" i="58" s="1"/>
  <c r="E65" i="58" s="1"/>
  <c r="E72" i="58" s="1"/>
  <c r="D5" i="53"/>
  <c r="F5" i="48"/>
  <c r="H5" i="48" s="1"/>
  <c r="E5" i="48"/>
  <c r="G5" i="48" s="1"/>
  <c r="F26" i="53"/>
  <c r="H26" i="53" s="1"/>
  <c r="E26" i="53"/>
  <c r="G26" i="53" s="1"/>
  <c r="C66" i="53"/>
  <c r="C68" i="53" s="1"/>
  <c r="E26" i="48"/>
  <c r="C66" i="48"/>
  <c r="C68" i="48" s="1"/>
  <c r="F26" i="48"/>
  <c r="E37" i="8"/>
  <c r="I65" i="15"/>
  <c r="J67" i="15"/>
  <c r="F20" i="28"/>
  <c r="F30" i="24"/>
  <c r="D21" i="24"/>
  <c r="E21" i="24" s="1"/>
  <c r="C22" i="24" s="1"/>
  <c r="F67" i="15"/>
  <c r="G67" i="15"/>
  <c r="E67" i="15"/>
  <c r="E79" i="58" l="1"/>
  <c r="E93" i="58" s="1"/>
  <c r="D76" i="58"/>
  <c r="D80" i="8"/>
  <c r="I68" i="53"/>
  <c r="D66" i="53"/>
  <c r="D68" i="53" s="1"/>
  <c r="D69" i="53" s="1"/>
  <c r="F5" i="53"/>
  <c r="E5" i="53"/>
  <c r="F6" i="48"/>
  <c r="H6" i="48" s="1"/>
  <c r="E6" i="48"/>
  <c r="G6" i="48" s="1"/>
  <c r="D66" i="48"/>
  <c r="D68" i="48" s="1"/>
  <c r="D69" i="48" s="1"/>
  <c r="H26" i="48"/>
  <c r="G26" i="48"/>
  <c r="E43" i="8"/>
  <c r="I66" i="15"/>
  <c r="I67" i="15" s="1"/>
  <c r="D22" i="24"/>
  <c r="E22" i="24" s="1"/>
  <c r="C23" i="24" s="1"/>
  <c r="F31" i="24"/>
  <c r="F68" i="15"/>
  <c r="H66" i="15"/>
  <c r="H67" i="15" s="1"/>
  <c r="E94" i="58" l="1"/>
  <c r="K9" i="52"/>
  <c r="E81" i="8"/>
  <c r="E66" i="48"/>
  <c r="E68" i="48" s="1"/>
  <c r="F66" i="53"/>
  <c r="F68" i="53" s="1"/>
  <c r="H5" i="53"/>
  <c r="H66" i="53" s="1"/>
  <c r="G5" i="53"/>
  <c r="G66" i="53" s="1"/>
  <c r="E66" i="53"/>
  <c r="E68" i="53" s="1"/>
  <c r="F66" i="48"/>
  <c r="F68" i="48" s="1"/>
  <c r="G66" i="48"/>
  <c r="G68" i="48" s="1"/>
  <c r="H66" i="48"/>
  <c r="C20" i="6"/>
  <c r="F32" i="24"/>
  <c r="D23" i="24"/>
  <c r="K26" i="52" l="1"/>
  <c r="R26" i="52" s="1"/>
  <c r="O89" i="51" s="1"/>
  <c r="F69" i="53"/>
  <c r="H67" i="48"/>
  <c r="H68" i="48" s="1"/>
  <c r="F69" i="48"/>
  <c r="H67" i="53"/>
  <c r="H68" i="53" s="1"/>
  <c r="G68" i="53"/>
  <c r="R14" i="40"/>
  <c r="E23" i="24"/>
  <c r="D65" i="8"/>
  <c r="F33" i="24"/>
  <c r="D66" i="8" l="1"/>
  <c r="Q7" i="40"/>
  <c r="R4" i="40"/>
  <c r="R7" i="40" s="1"/>
  <c r="C24" i="24"/>
  <c r="F34" i="24"/>
  <c r="D155" i="8" l="1"/>
  <c r="D24" i="24"/>
  <c r="E24" i="24" s="1"/>
  <c r="C25" i="24" s="1"/>
  <c r="D25" i="24" s="1"/>
  <c r="E25" i="24" s="1"/>
  <c r="C26" i="24" s="1"/>
  <c r="E67" i="8"/>
  <c r="F35" i="24"/>
  <c r="D26" i="24" l="1"/>
  <c r="E26" i="24" s="1"/>
  <c r="C27" i="24" s="1"/>
  <c r="D27" i="24" s="1"/>
  <c r="E27" i="24" s="1"/>
  <c r="C28" i="24" s="1"/>
  <c r="C23" i="6"/>
  <c r="F36" i="24"/>
  <c r="G15" i="29" l="1"/>
  <c r="B14" i="31"/>
  <c r="C4" i="31" s="1"/>
  <c r="D28" i="24"/>
  <c r="E28" i="24" s="1"/>
  <c r="C29" i="24" s="1"/>
  <c r="F37" i="24"/>
  <c r="F38" i="24" l="1"/>
  <c r="D29" i="24"/>
  <c r="E29" i="24" s="1"/>
  <c r="C30" i="24" s="1"/>
  <c r="E155" i="8" l="1"/>
  <c r="E156" i="8" s="1"/>
  <c r="D30" i="24"/>
  <c r="E30" i="24" s="1"/>
  <c r="C31" i="24" s="1"/>
  <c r="F39" i="24"/>
  <c r="C22" i="31" l="1"/>
  <c r="C35" i="6"/>
  <c r="C36" i="6" s="1"/>
  <c r="C26" i="31" s="1"/>
  <c r="F40" i="24"/>
  <c r="D31" i="24"/>
  <c r="E31" i="24" s="1"/>
  <c r="C32" i="24" s="1"/>
  <c r="C28" i="31" l="1"/>
  <c r="D32" i="24"/>
  <c r="E32" i="24" s="1"/>
  <c r="C33" i="24"/>
  <c r="F41" i="24"/>
  <c r="F30" i="28" l="1"/>
  <c r="F14" i="28"/>
  <c r="F21" i="28" s="1"/>
  <c r="F42" i="24"/>
  <c r="D33" i="24"/>
  <c r="E33" i="24" s="1"/>
  <c r="C34" i="24" s="1"/>
  <c r="D34" i="24" l="1"/>
  <c r="E34" i="24" s="1"/>
  <c r="C35" i="24" s="1"/>
  <c r="F43" i="24"/>
  <c r="G17" i="29" l="1"/>
  <c r="F34" i="28"/>
  <c r="F35" i="28" s="1"/>
  <c r="F44" i="24"/>
  <c r="D35" i="24"/>
  <c r="E35" i="24" s="1"/>
  <c r="C36" i="24" s="1"/>
  <c r="D36" i="24" l="1"/>
  <c r="E36" i="24" s="1"/>
  <c r="C37" i="24" s="1"/>
  <c r="F45" i="24"/>
  <c r="F41" i="28" l="1"/>
  <c r="F42" i="28" s="1"/>
  <c r="F44" i="28" s="1"/>
  <c r="D37" i="24"/>
  <c r="E37" i="24" s="1"/>
  <c r="C38" i="24" s="1"/>
  <c r="F46" i="24"/>
  <c r="Q12" i="40" l="1"/>
  <c r="Q20" i="40" s="1"/>
  <c r="Q21" i="40" s="1"/>
  <c r="R10" i="40"/>
  <c r="R12" i="40" s="1"/>
  <c r="R20" i="40" s="1"/>
  <c r="R21" i="40" s="1"/>
  <c r="F47" i="24"/>
  <c r="D38" i="24"/>
  <c r="E38" i="24" s="1"/>
  <c r="C39" i="24" s="1"/>
  <c r="D39" i="24" l="1"/>
  <c r="E39" i="24" s="1"/>
  <c r="C40" i="24" s="1"/>
  <c r="F48" i="24"/>
  <c r="F49" i="24" l="1"/>
  <c r="D40" i="24"/>
  <c r="E40" i="24" s="1"/>
  <c r="C41" i="24" s="1"/>
  <c r="D41" i="24" l="1"/>
  <c r="E41" i="24" s="1"/>
  <c r="C42" i="24"/>
  <c r="F50" i="24"/>
  <c r="D42" i="24" l="1"/>
  <c r="E42" i="24" s="1"/>
  <c r="C43" i="24" s="1"/>
  <c r="D43" i="24" l="1"/>
  <c r="E43" i="24" s="1"/>
  <c r="C44" i="24"/>
  <c r="D44" i="24" l="1"/>
  <c r="E44" i="24" s="1"/>
  <c r="C45" i="24" s="1"/>
  <c r="D45" i="24" l="1"/>
  <c r="E45" i="24" s="1"/>
  <c r="C46" i="24" s="1"/>
  <c r="D46" i="24" l="1"/>
  <c r="E46" i="24" s="1"/>
  <c r="C47" i="24"/>
  <c r="D47" i="24" l="1"/>
  <c r="E47" i="24" s="1"/>
  <c r="C48" i="24" s="1"/>
  <c r="D48" i="24" l="1"/>
  <c r="E48" i="24" s="1"/>
  <c r="C49" i="24" s="1"/>
  <c r="D49" i="24" s="1"/>
  <c r="D50" i="24" l="1"/>
  <c r="E49" i="24"/>
  <c r="E50" i="24" s="1"/>
  <c r="E54" i="60"/>
  <c r="I54" i="60" s="1"/>
  <c r="I70" i="60" s="1"/>
  <c r="C70" i="60"/>
  <c r="C72" i="60" s="1"/>
  <c r="D73" i="60" s="1"/>
  <c r="F54" i="60"/>
  <c r="J54" i="60" l="1"/>
  <c r="J70" i="60" s="1"/>
  <c r="I71" i="60" s="1"/>
  <c r="J72" i="60"/>
  <c r="E70" i="60"/>
  <c r="E72" i="60" s="1"/>
  <c r="F70" i="60"/>
  <c r="F72" i="60" s="1"/>
  <c r="E5" i="61" l="1"/>
  <c r="I72" i="60"/>
  <c r="F73" i="60"/>
  <c r="E64" i="61"/>
  <c r="E105" i="61"/>
  <c r="E164" i="61" s="1"/>
  <c r="D67" i="61" l="1"/>
  <c r="D70" i="61" s="1"/>
  <c r="D71" i="61" s="1"/>
  <c r="E65" i="61" s="1"/>
  <c r="E72" i="61" s="1"/>
  <c r="D167" i="61"/>
  <c r="D170" i="61" s="1"/>
  <c r="D171" i="61" s="1"/>
  <c r="E165" i="61" s="1"/>
  <c r="E172" i="61" s="1"/>
  <c r="D76" i="61" l="1"/>
  <c r="E79" i="61"/>
  <c r="E93" i="61" s="1"/>
  <c r="E94" i="61" s="1"/>
  <c r="E179" i="61"/>
  <c r="E193" i="61" s="1"/>
  <c r="E194" i="61" s="1"/>
  <c r="D176" i="61"/>
  <c r="E202" i="61" l="1"/>
</calcChain>
</file>

<file path=xl/comments1.xml><?xml version="1.0" encoding="utf-8"?>
<comments xmlns="http://schemas.openxmlformats.org/spreadsheetml/2006/main">
  <authors>
    <author>www.intercambiosvirtuales.org</author>
  </authors>
  <commentList>
    <comment ref="D10" authorId="0">
      <text>
        <r>
          <rPr>
            <b/>
            <sz val="9"/>
            <color indexed="81"/>
            <rFont val="Tahoma"/>
            <family val="2"/>
          </rPr>
          <t>de hoja retiros o dividendos ejercicio</t>
        </r>
      </text>
    </comment>
    <comment ref="D110" authorId="0">
      <text>
        <r>
          <rPr>
            <b/>
            <sz val="9"/>
            <color indexed="81"/>
            <rFont val="Tahoma"/>
            <family val="2"/>
          </rPr>
          <t>de hoja retiros o dividendos ejercicio</t>
        </r>
      </text>
    </comment>
  </commentList>
</comments>
</file>

<file path=xl/comments2.xml><?xml version="1.0" encoding="utf-8"?>
<comments xmlns="http://schemas.openxmlformats.org/spreadsheetml/2006/main">
  <authors>
    <author>www.intercambiosvirtuales.org</author>
  </authors>
  <commentList>
    <comment ref="D10" authorId="0">
      <text>
        <r>
          <rPr>
            <b/>
            <sz val="9"/>
            <color indexed="81"/>
            <rFont val="Tahoma"/>
            <family val="2"/>
          </rPr>
          <t>de hoja retiros o dividendos ejercicio</t>
        </r>
      </text>
    </comment>
  </commentList>
</comments>
</file>

<file path=xl/comments3.xml><?xml version="1.0" encoding="utf-8"?>
<comments xmlns="http://schemas.openxmlformats.org/spreadsheetml/2006/main">
  <authors>
    <author>www.intercambiosvirtuales.org</author>
  </authors>
  <commentList>
    <comment ref="D10" authorId="0">
      <text>
        <r>
          <rPr>
            <b/>
            <sz val="9"/>
            <color indexed="81"/>
            <rFont val="Tahoma"/>
            <family val="2"/>
          </rPr>
          <t>de hoja retiros o dividendos ejercicio</t>
        </r>
      </text>
    </comment>
    <comment ref="D110" authorId="0">
      <text>
        <r>
          <rPr>
            <b/>
            <sz val="9"/>
            <color indexed="81"/>
            <rFont val="Tahoma"/>
            <family val="2"/>
          </rPr>
          <t>de hoja retiros o dividendos ejercicio</t>
        </r>
      </text>
    </comment>
  </commentList>
</comments>
</file>

<file path=xl/comments4.xml><?xml version="1.0" encoding="utf-8"?>
<comments xmlns="http://schemas.openxmlformats.org/spreadsheetml/2006/main">
  <authors>
    <author>ROBERTO</author>
  </authors>
  <commentList>
    <comment ref="F10" authorId="0">
      <text>
        <r>
          <rPr>
            <b/>
            <sz val="9"/>
            <color indexed="81"/>
            <rFont val="Tahoma"/>
            <family val="2"/>
          </rPr>
          <t xml:space="preserve">incluye:
(+)deudores por venta (-)estimación deudores incobrables
(-)anticipo ventas
</t>
        </r>
      </text>
    </comment>
  </commentList>
</comments>
</file>

<file path=xl/sharedStrings.xml><?xml version="1.0" encoding="utf-8"?>
<sst xmlns="http://schemas.openxmlformats.org/spreadsheetml/2006/main" count="1911" uniqueCount="560">
  <si>
    <t>TOTALES</t>
  </si>
  <si>
    <t>Capital</t>
  </si>
  <si>
    <t>CAJA</t>
  </si>
  <si>
    <t xml:space="preserve">DEBE </t>
  </si>
  <si>
    <t>HABER</t>
  </si>
  <si>
    <t>DEBE</t>
  </si>
  <si>
    <t>PROVEEDORES</t>
  </si>
  <si>
    <t>IVA DEBITO FISCAL</t>
  </si>
  <si>
    <t>venta de mercaderias</t>
  </si>
  <si>
    <t>Activo</t>
  </si>
  <si>
    <t>Pasivo</t>
  </si>
  <si>
    <t>ASIENTOS</t>
  </si>
  <si>
    <t>DETALLES</t>
  </si>
  <si>
    <t>SUELDO BASE</t>
  </si>
  <si>
    <t>IVA CREDITO FISCAL</t>
  </si>
  <si>
    <t>SEGUROS ANTICIPADOS</t>
  </si>
  <si>
    <t>BANCO</t>
  </si>
  <si>
    <t>INTERESES GANADOS</t>
  </si>
  <si>
    <t>MERMA MERCADERIA</t>
  </si>
  <si>
    <t>SD</t>
  </si>
  <si>
    <t>depreciación del ejercicio</t>
  </si>
  <si>
    <t xml:space="preserve">Activos </t>
  </si>
  <si>
    <t>Activos corrientes</t>
  </si>
  <si>
    <t xml:space="preserve">Total de activos corrientes </t>
  </si>
  <si>
    <t>Activos no corrientes</t>
  </si>
  <si>
    <t>Total de activos no corrientes</t>
  </si>
  <si>
    <t>Total de activos</t>
  </si>
  <si>
    <t>Pasivos</t>
  </si>
  <si>
    <t>Pasivos corrientes</t>
  </si>
  <si>
    <t>Pasivos no corrientes</t>
  </si>
  <si>
    <t>Total de pasivos no corrientes</t>
  </si>
  <si>
    <t>Patrimonio</t>
  </si>
  <si>
    <t>Patrimonio total</t>
  </si>
  <si>
    <t>Total de patrimonio y pasivos</t>
  </si>
  <si>
    <t xml:space="preserve">LIBRO DIARIO </t>
  </si>
  <si>
    <t>cuenta</t>
  </si>
  <si>
    <t>identidad</t>
  </si>
  <si>
    <t>debe</t>
  </si>
  <si>
    <t>haber</t>
  </si>
  <si>
    <t>sdeudor</t>
  </si>
  <si>
    <t>sacreedor</t>
  </si>
  <si>
    <t>activo</t>
  </si>
  <si>
    <t>pasivo</t>
  </si>
  <si>
    <t>perdida</t>
  </si>
  <si>
    <t>ganancia</t>
  </si>
  <si>
    <t>11002</t>
  </si>
  <si>
    <t>BANCOS</t>
  </si>
  <si>
    <t>ACCIONES EN YYY SAC</t>
  </si>
  <si>
    <t>DEPÓSITOS A PLAZO</t>
  </si>
  <si>
    <t>EXISTENCIAS</t>
  </si>
  <si>
    <t>IVA CRÉDITO FISCAL</t>
  </si>
  <si>
    <t>15001</t>
  </si>
  <si>
    <t>TERRENOS</t>
  </si>
  <si>
    <t>15002</t>
  </si>
  <si>
    <t>DEPRECIACIONES ACUMULADAS</t>
  </si>
  <si>
    <t>IVA DÉBITO FISCAL</t>
  </si>
  <si>
    <t>21001</t>
  </si>
  <si>
    <t>ACREEDORES VARIOS</t>
  </si>
  <si>
    <t>ESTIMACIÓN DEUDORES INCOBRABLES</t>
  </si>
  <si>
    <t>PROVISIÓN VACACIONES</t>
  </si>
  <si>
    <t>RETENCIONES SEGUNDA CATEGORIA</t>
  </si>
  <si>
    <t>PROVISIÓN IMPUESTO A LA RENTA</t>
  </si>
  <si>
    <t xml:space="preserve">RESERVA IFRS 1 ADOPCIÓN </t>
  </si>
  <si>
    <t>REMUNERACIONES</t>
  </si>
  <si>
    <t>ASESORIAS EXTERNAS</t>
  </si>
  <si>
    <t>44062</t>
  </si>
  <si>
    <t>GASTOS NO DOCUMENTADOS</t>
  </si>
  <si>
    <t>44063</t>
  </si>
  <si>
    <t>IMPUESTO A LA RENTA</t>
  </si>
  <si>
    <t>GASTOS BANCARIOS</t>
  </si>
  <si>
    <t>GANANCIA FONDOS MUTUOS</t>
  </si>
  <si>
    <t>INGRESOS POR VENTAS</t>
  </si>
  <si>
    <t>CAPITAL SOCIAL</t>
  </si>
  <si>
    <t>ACCIONES POR SUSCRIBIR</t>
  </si>
  <si>
    <t>ACCIONES SUSCRITAS</t>
  </si>
  <si>
    <t>11001</t>
  </si>
  <si>
    <t>DIVIDENDOS PROVISORIOS</t>
  </si>
  <si>
    <t>APORTE EMPRESA</t>
  </si>
  <si>
    <t>REAJUSTE PPMO</t>
  </si>
  <si>
    <t>GASTOS DEUDORES INCOBRABLES</t>
  </si>
  <si>
    <t xml:space="preserve">CAJA </t>
  </si>
  <si>
    <t>VEHÍCULOS</t>
  </si>
  <si>
    <t>CASTIGO DE MERCADERIA</t>
  </si>
  <si>
    <t>ARRIENDOS</t>
  </si>
  <si>
    <t>DEPRECIACIONES ACUMULADAS EN LEASING</t>
  </si>
  <si>
    <t>DEPRECIACIÓN FINANCIERA DEL EJERCICIO</t>
  </si>
  <si>
    <t>DEPRECIACIÓN LEASING DEL EJERCICIO</t>
  </si>
  <si>
    <t>INTERESES DE LEASING</t>
  </si>
  <si>
    <t>ANTICIPO DE VENTAS</t>
  </si>
  <si>
    <t>IMPUESTO DIFERIDO</t>
  </si>
  <si>
    <t>PERDIDA VENTA VEHICULO</t>
  </si>
  <si>
    <t>PRESTAMOS BANCARIOS</t>
  </si>
  <si>
    <t>OBLIGACIONES POR LEASING</t>
  </si>
  <si>
    <t>SEGUROS</t>
  </si>
  <si>
    <t>COSTO VENTA</t>
  </si>
  <si>
    <t>GASTO POR INSUMOS GENERALES</t>
  </si>
  <si>
    <t>PROVISIÓN DE INSUMOS  GENERALES</t>
  </si>
  <si>
    <t>VEHICULOS EN LEASING</t>
  </si>
  <si>
    <t>MAQUINARIAS EN LEASING</t>
  </si>
  <si>
    <t>GASTOS POR REPARACIÓN</t>
  </si>
  <si>
    <t>IMPOSICIONES POR PAGAR</t>
  </si>
  <si>
    <t xml:space="preserve">DEUDORES POR VENTAS </t>
  </si>
  <si>
    <t>PPMO</t>
  </si>
  <si>
    <t>PROVISIÓN PPMO</t>
  </si>
  <si>
    <t>IMPUESTO ESPECÍFICO DIESEL</t>
  </si>
  <si>
    <t>REMUNERACIONES POR PAGAR</t>
  </si>
  <si>
    <t>valor de mercado misma fecha</t>
  </si>
  <si>
    <t>IVA totalmente irrecuperable</t>
  </si>
  <si>
    <t>Subtotal</t>
  </si>
  <si>
    <t>AÑOS</t>
  </si>
  <si>
    <t>MESES</t>
  </si>
  <si>
    <t>VALOR  INICIAL</t>
  </si>
  <si>
    <t>MESES DE USO</t>
  </si>
  <si>
    <t>DEPRECIACIÓN ANUAL</t>
  </si>
  <si>
    <t>Valoriza financiera</t>
  </si>
  <si>
    <t>Valoriza costo rep</t>
  </si>
  <si>
    <t>Valor de adquisición según factura (2/1/2022 )</t>
  </si>
  <si>
    <t xml:space="preserve">VIDA UTIL </t>
  </si>
  <si>
    <t>VALOR NETO  FINAL
31-12-2022</t>
  </si>
  <si>
    <t xml:space="preserve">Corrección Monetaria a diciembre </t>
  </si>
  <si>
    <t xml:space="preserve">ANEXO EXISTENCIAS </t>
  </si>
  <si>
    <t>1.-</t>
  </si>
  <si>
    <t>acciones suscritas</t>
  </si>
  <si>
    <t>acciones por suscribir</t>
  </si>
  <si>
    <t>ppmo</t>
  </si>
  <si>
    <t>costo venta</t>
  </si>
  <si>
    <t>existencias</t>
  </si>
  <si>
    <t>depreciacion ejercicio</t>
  </si>
  <si>
    <t>depreciacion acumulada</t>
  </si>
  <si>
    <t>débito fiscal</t>
  </si>
  <si>
    <t>crédito fiscal</t>
  </si>
  <si>
    <t>retenciones segunda categoria</t>
  </si>
  <si>
    <t>provisión ppmo</t>
  </si>
  <si>
    <t>reajuste ppmo</t>
  </si>
  <si>
    <t>terrenos</t>
  </si>
  <si>
    <t>reserfa ifrs 1ra adopcion</t>
  </si>
  <si>
    <t>CÁLCULO DE PROVISION DE VACACIONES DE UNA EMPRESA</t>
  </si>
  <si>
    <t>TRABAJADOR/A</t>
  </si>
  <si>
    <t>F INGRESO</t>
  </si>
  <si>
    <t>F CIERRE</t>
  </si>
  <si>
    <t>N° MESES</t>
  </si>
  <si>
    <t>N° DIAS</t>
  </si>
  <si>
    <t>N° VACACIONES</t>
  </si>
  <si>
    <t>PROVISION</t>
  </si>
  <si>
    <t xml:space="preserve">MENSUAL </t>
  </si>
  <si>
    <t>DIARIO</t>
  </si>
  <si>
    <t>TRABAJADOS</t>
  </si>
  <si>
    <t>HÁBILES</t>
  </si>
  <si>
    <t>TOMADAS</t>
  </si>
  <si>
    <t>PENDIENTES</t>
  </si>
  <si>
    <t>VACACIONES</t>
  </si>
  <si>
    <t>Pedro Rojas</t>
  </si>
  <si>
    <t xml:space="preserve">Macarena Silva </t>
  </si>
  <si>
    <t xml:space="preserve">José Retamales </t>
  </si>
  <si>
    <t>Año 2022</t>
  </si>
  <si>
    <t>Remuneraciones del Personal</t>
  </si>
  <si>
    <t>Aporte Empleador</t>
  </si>
  <si>
    <t>Cotizaciones Previsionales</t>
  </si>
  <si>
    <t>Remuneraciones por Pagar</t>
  </si>
  <si>
    <t>Gasto por Vacaciones del Personal</t>
  </si>
  <si>
    <t xml:space="preserve">Provisión Vacaciones del  Personal </t>
  </si>
  <si>
    <t>Año 2023</t>
  </si>
  <si>
    <t>gasto por vacaciones del personal</t>
  </si>
  <si>
    <t xml:space="preserve">provision vacaciones </t>
  </si>
  <si>
    <t>9,-</t>
  </si>
  <si>
    <t>gasto por deudores incobrables</t>
  </si>
  <si>
    <t xml:space="preserve">estimación deudores </t>
  </si>
  <si>
    <t>MULTAS FISCALES</t>
  </si>
  <si>
    <t>impuesto renta</t>
  </si>
  <si>
    <t>impuesto diferido</t>
  </si>
  <si>
    <t>provisión impuesto renta</t>
  </si>
  <si>
    <t>DEPRECIACIÓN 2022</t>
  </si>
  <si>
    <t xml:space="preserve"> LEASING FINANCIERO </t>
  </si>
  <si>
    <t>Bien:</t>
  </si>
  <si>
    <t>EDIFICIO</t>
  </si>
  <si>
    <t>costo:</t>
  </si>
  <si>
    <t>Nº cuotas</t>
  </si>
  <si>
    <t>Monto cuota</t>
  </si>
  <si>
    <t>Tasa inTERÉS mensual</t>
  </si>
  <si>
    <t>CUADRO DE AMORTIZACION</t>
  </si>
  <si>
    <t>nº cuotas</t>
  </si>
  <si>
    <t>Interés</t>
  </si>
  <si>
    <t xml:space="preserve">amortización </t>
  </si>
  <si>
    <t>Cuota</t>
  </si>
  <si>
    <t>DIFERENCIA</t>
  </si>
  <si>
    <t>2-.-</t>
  </si>
  <si>
    <t>caja</t>
  </si>
  <si>
    <t>4,-</t>
  </si>
  <si>
    <t>5,-</t>
  </si>
  <si>
    <t>6,-</t>
  </si>
  <si>
    <t>7,-</t>
  </si>
  <si>
    <t>8,-</t>
  </si>
  <si>
    <t>10-,</t>
  </si>
  <si>
    <t>11,-</t>
  </si>
  <si>
    <t>UTILIDAD DEL EJERCICIO</t>
  </si>
  <si>
    <t>asiento de apertura</t>
  </si>
  <si>
    <t>DEL 01 DE ENERO AL 31 DE DICIEMBRE 2023</t>
  </si>
  <si>
    <t>RESULTADO EJERCICIO</t>
  </si>
  <si>
    <t>UTILIDAD DEL EJERCICO</t>
  </si>
  <si>
    <t xml:space="preserve">UTILIDADES ACUMULADAS </t>
  </si>
  <si>
    <t xml:space="preserve">distribución de utilidad </t>
  </si>
  <si>
    <t xml:space="preserve">BANCO </t>
  </si>
  <si>
    <t>DEUDORES POR VENTAS</t>
  </si>
  <si>
    <t>COSTO DE VENTAS</t>
  </si>
  <si>
    <t xml:space="preserve">EXISTENCIA </t>
  </si>
  <si>
    <t>SEGURO ANTICIPADO</t>
  </si>
  <si>
    <t>RETENCIONES 2DA CATEGORIA</t>
  </si>
  <si>
    <t>formulario 29 de diciembre 2022</t>
  </si>
  <si>
    <t>imposiciones de diciembre 2022</t>
  </si>
  <si>
    <t>PPM</t>
  </si>
  <si>
    <t>formulario 29 de enero 2023</t>
  </si>
  <si>
    <t>EDIFICIO EN LEASING</t>
  </si>
  <si>
    <t xml:space="preserve">contrato de leasing </t>
  </si>
  <si>
    <t>INTERESES POR LEASING</t>
  </si>
  <si>
    <t xml:space="preserve">pago cuota leasing de marzo a diciembre </t>
  </si>
  <si>
    <t xml:space="preserve">SEGUROS </t>
  </si>
  <si>
    <t>gasto por seguro de mayo a diciembre</t>
  </si>
  <si>
    <t>Contratación de seguro de 1 año para vehículo con efectivo</t>
  </si>
  <si>
    <t>ANEXO ACTIVO INMOVILIZADO 2023</t>
  </si>
  <si>
    <t>DEPRECIACIÓN 2023</t>
  </si>
  <si>
    <t>VALOR NETO  FINAL
31-12-2023</t>
  </si>
  <si>
    <t>DIVIDENDOS POR PAGAR</t>
  </si>
  <si>
    <t>acuerdo junta accionista de distribuir 30%</t>
  </si>
  <si>
    <t xml:space="preserve">ajuste por dividendos provisorios </t>
  </si>
  <si>
    <t>FONDO MUTUO</t>
  </si>
  <si>
    <t>deposito en fondo mutuo</t>
  </si>
  <si>
    <t xml:space="preserve">rescata depósito a plazo </t>
  </si>
  <si>
    <t xml:space="preserve">centraliza libro remuneraciones </t>
  </si>
  <si>
    <t>reversa provisiones de vacaciones 2022 tomadas en el 2023</t>
  </si>
  <si>
    <t>pago de imposiciones y remuneraciones del año</t>
  </si>
  <si>
    <t xml:space="preserve">anticipo de ventas diciembre </t>
  </si>
  <si>
    <t>provisión deudores incobrables 2,5%</t>
  </si>
  <si>
    <t>INTERESES FINANCIEROS</t>
  </si>
  <si>
    <t>EDIFICIO  EN LEASING</t>
  </si>
  <si>
    <t xml:space="preserve">GASTO POR VACACIONES </t>
  </si>
  <si>
    <t>provision vacaciones 2023</t>
  </si>
  <si>
    <t xml:space="preserve"> Estado de Situación Financiera Clasificado</t>
  </si>
  <si>
    <t>Estado de Situación Financiera</t>
  </si>
  <si>
    <t>Efectivo y equivalentes al efectivo</t>
  </si>
  <si>
    <t>Otros activos financieros corrientes</t>
  </si>
  <si>
    <t>Deudores comerciales y otras cuentas por cobrar corrientes</t>
  </si>
  <si>
    <t>Cuentas por cobrar a entidades relacionadas corrientes</t>
  </si>
  <si>
    <t>Inventarios</t>
  </si>
  <si>
    <t>Activos por impuestos corrientes</t>
  </si>
  <si>
    <t>Propiedades, Planta y Equipo</t>
  </si>
  <si>
    <t>Patrimonio y pasivos</t>
  </si>
  <si>
    <t>Otros pasivos financieros corrientes</t>
  </si>
  <si>
    <t>Cuentas por pagar comerciales y otras cuentas por pagar</t>
  </si>
  <si>
    <t>Cuentas por Pagar a Entidades Relacionadas, Corriente</t>
  </si>
  <si>
    <t>Pasivos por impuestos corrientes</t>
  </si>
  <si>
    <t xml:space="preserve">Total pasivos corrientes </t>
  </si>
  <si>
    <t>Otros pasivos financieros no corrientes</t>
  </si>
  <si>
    <t>Total pasivos</t>
  </si>
  <si>
    <t>Capital emitido</t>
  </si>
  <si>
    <t>Ganancias (pérdidas) acumuladas</t>
  </si>
  <si>
    <t xml:space="preserve">Estado de Resultados </t>
  </si>
  <si>
    <t>ACUMULADO</t>
  </si>
  <si>
    <t>Estado de resultados</t>
  </si>
  <si>
    <t>Ganancia (pérdida)</t>
  </si>
  <si>
    <t>Ingresos de actividades ordinarias</t>
  </si>
  <si>
    <t>Costo de ventas</t>
  </si>
  <si>
    <t>Ganancia bruta</t>
  </si>
  <si>
    <t>Otros ingresos</t>
  </si>
  <si>
    <t>Costos de distribución</t>
  </si>
  <si>
    <t>Gasto de administración</t>
  </si>
  <si>
    <t>Costos financieros</t>
  </si>
  <si>
    <t xml:space="preserve">Ganancia (pérdida), antes de impuestos </t>
  </si>
  <si>
    <t>Gasto por impuestos a las ganancias</t>
  </si>
  <si>
    <t>FLUJO ORIGINADO POR ACT.DE LA OPERACIÓN</t>
  </si>
  <si>
    <t>pago remuneraciones</t>
  </si>
  <si>
    <t>pago intereses</t>
  </si>
  <si>
    <t>FLUJO NETO ORIGINADO POR ACT. DE FINANCIAMIENTO</t>
  </si>
  <si>
    <t xml:space="preserve"> </t>
  </si>
  <si>
    <t>préstamo banco</t>
  </si>
  <si>
    <t>amortización préstamo</t>
  </si>
  <si>
    <t>FLUJO NETO ORIGINADO POR ACT. DE INVERSION</t>
  </si>
  <si>
    <t>FLUJO NETO TOTAL DEL PERIODO</t>
  </si>
  <si>
    <t>SALDO INICIAL EFECTIVO Y EFECTIVO EQUIVALENTE</t>
  </si>
  <si>
    <t>SALDO FINAL EFECTIVO Y EFECTIVO EQUIVALENTE</t>
  </si>
  <si>
    <t>Acciones en SA</t>
  </si>
  <si>
    <t>Acciones propias en cartera</t>
  </si>
  <si>
    <t>Otras reservas</t>
  </si>
  <si>
    <t>Activos por impuestos diferidos</t>
  </si>
  <si>
    <t>pago de impuestos mensuales</t>
  </si>
  <si>
    <t>pago de imposiciones</t>
  </si>
  <si>
    <t xml:space="preserve">ingreso por ventas </t>
  </si>
  <si>
    <t>pago cuotas de leasing</t>
  </si>
  <si>
    <t>ingreso por arriendos</t>
  </si>
  <si>
    <t>inversión en fondos mutuos</t>
  </si>
  <si>
    <t>pago de seguros anticipados</t>
  </si>
  <si>
    <t>rescate depósito a plazo</t>
  </si>
  <si>
    <t>pago de remuneraciones</t>
  </si>
  <si>
    <t>ingreso por anticipo de ventas</t>
  </si>
  <si>
    <t>pago de intereses bancarios</t>
  </si>
  <si>
    <t>ingreso por fusión impropia</t>
  </si>
  <si>
    <t>Ingresos por ventas</t>
  </si>
  <si>
    <t>Ingresos por anticipo de ventas</t>
  </si>
  <si>
    <t>pago de cuotas de leasing</t>
  </si>
  <si>
    <t>pago de acciones</t>
  </si>
  <si>
    <t>pago de dividendos</t>
  </si>
  <si>
    <t>Rescate depósito a plazo</t>
  </si>
  <si>
    <t>Estado de Flujo de Efectivo</t>
  </si>
  <si>
    <t>Activos intangilbes por goodwill</t>
  </si>
  <si>
    <t>3,-</t>
  </si>
  <si>
    <t>inversión de fondos mutuos</t>
  </si>
  <si>
    <t>saldo inicial</t>
  </si>
  <si>
    <t>pago cuota leasing de marzo</t>
  </si>
  <si>
    <t>=</t>
  </si>
  <si>
    <t>+</t>
  </si>
  <si>
    <t>(-)</t>
  </si>
  <si>
    <t>Costo de Ventas</t>
  </si>
  <si>
    <t>Incentivo al ahorro según art. 14 letra E) LIR</t>
  </si>
  <si>
    <t xml:space="preserve">Pérdida tributaria del ejercicio al 31 de diciembre </t>
  </si>
  <si>
    <t>TOTAL</t>
  </si>
  <si>
    <t>Partidas del inciso segundo del artículo 21 LIR</t>
  </si>
  <si>
    <t>Rentas exentas e ingresos no renta (positivo), generados por la empresa en el ejercicio</t>
  </si>
  <si>
    <t>Pérdida por rentas exentas e ingresos no renta del ejercicio</t>
  </si>
  <si>
    <t>Retiros o dividendos percibidos en el ejercicio por participaciones en otras empresas</t>
  </si>
  <si>
    <t>Utilidades percibidas afectas a impuestos finales imputadas a la pérdida tributaria del ejercicio</t>
  </si>
  <si>
    <t>Crédito total disponible imputable contra impuestos finales (IPE), del ejercicio</t>
  </si>
  <si>
    <t>Otras partidas a agregar</t>
  </si>
  <si>
    <t>Otras partidas a deducir</t>
  </si>
  <si>
    <t>Débitos</t>
  </si>
  <si>
    <t>Pérdidas</t>
  </si>
  <si>
    <t>Ganancias</t>
  </si>
  <si>
    <t>IDPC</t>
  </si>
  <si>
    <t>3.- Deducción por beneficio establecido en el artículo 14 letra E de la LIR</t>
  </si>
  <si>
    <t>Determinación del incentivo a la reinversión</t>
  </si>
  <si>
    <t>RLI PREVIA</t>
  </si>
  <si>
    <t>GTOS RECHAZADOS ART 21 Inc 2º</t>
  </si>
  <si>
    <t xml:space="preserve">BASE </t>
  </si>
  <si>
    <t>Pasivos por impuestos diferidos</t>
  </si>
  <si>
    <t>Pago de impuestos mensuales</t>
  </si>
  <si>
    <t>BALANCE GENERAL DEL 1 de Enero al 31 de Diciembre de 2023</t>
  </si>
  <si>
    <t xml:space="preserve">pago de proveedores del año anterior </t>
  </si>
  <si>
    <t xml:space="preserve">PROVISION IMPUESTO A LA RENTA </t>
  </si>
  <si>
    <t>pago de proveedores</t>
  </si>
  <si>
    <t>pago de impuestos</t>
  </si>
  <si>
    <t>reajuste ppmo del 2023</t>
  </si>
  <si>
    <t>castigo clientes año 2022</t>
  </si>
  <si>
    <t xml:space="preserve">Pago de proveedores </t>
  </si>
  <si>
    <t>pago de dividendos del año 2022</t>
  </si>
  <si>
    <t>pago de acciones suscritas</t>
  </si>
  <si>
    <t>Primas de emisión</t>
  </si>
  <si>
    <t>Otras participaciones en el patrimonio</t>
  </si>
  <si>
    <t>Superávit de Revaluación</t>
  </si>
  <si>
    <t>Reservas por diferencias de cambio por conversión</t>
  </si>
  <si>
    <t>Reservas de coberturas de flujo de caja</t>
  </si>
  <si>
    <t>Reservas de ganancias y pérdidas por planes de beneficios definidos</t>
  </si>
  <si>
    <t>Reservas de ganancias o pérdidas en la remedición de activos financieros disponibles para la venta</t>
  </si>
  <si>
    <t>Incremento (disminución) por cambios en políticas contables</t>
  </si>
  <si>
    <t>Incremento (disminución) por correcciones de errores</t>
  </si>
  <si>
    <t>Saldo Inicial Reexpresado</t>
  </si>
  <si>
    <t>Cambios en patrimonio</t>
  </si>
  <si>
    <t>Resultado Integral</t>
  </si>
  <si>
    <t>Otro resultado integral</t>
  </si>
  <si>
    <t xml:space="preserve">Resultado integral </t>
  </si>
  <si>
    <t>Emisión de patrimonio</t>
  </si>
  <si>
    <t>Dividendos</t>
  </si>
  <si>
    <t>Incremento (disminución) por otras aportaciones de los propietarios</t>
  </si>
  <si>
    <t>Disminución (incremento) por otras distribuciones a los propietarios</t>
  </si>
  <si>
    <t>Incremento (disminución) por transferencias y otros cambios</t>
  </si>
  <si>
    <t>Incremento (disminución) por transacciones de acciones en cartera</t>
  </si>
  <si>
    <t>Incremento (disminución) por cambios en la participación de subsidiarias que no impliquen pérdida de control</t>
  </si>
  <si>
    <t>Total de cambios en patrimonio</t>
  </si>
  <si>
    <t>Saldo Inicial Período Actual 01/01/2023</t>
  </si>
  <si>
    <t>Reserva por IFRS 1ra adopcion</t>
  </si>
  <si>
    <t>Saldo Final Período Actual 31/12/2023</t>
  </si>
  <si>
    <t>Estado de cambios en el patrimonio</t>
  </si>
  <si>
    <t>AL 30/12/2023</t>
  </si>
  <si>
    <t>castigo de existencia 3,5% sobre mercaderia del negocio</t>
  </si>
  <si>
    <t>merma mercadería del negocio</t>
  </si>
  <si>
    <t xml:space="preserve">pago de acciones suscritas </t>
  </si>
  <si>
    <t xml:space="preserve">FONDOS MUTUOS A MENOS 90 DIAS </t>
  </si>
  <si>
    <t>BALANCE GENERAL DEL 1 de Enero al 31 de Diciembre de 2022</t>
  </si>
  <si>
    <t>BIEN RAIZ</t>
  </si>
  <si>
    <t>TALLERES SA</t>
  </si>
  <si>
    <t xml:space="preserve">ANEXO ACTIVO INMOVILIZADO 2022 </t>
  </si>
  <si>
    <t>Corrección Monetaria a diciembre  12,5%</t>
  </si>
  <si>
    <t>Compra de Vehiculo Financiero</t>
  </si>
  <si>
    <t>Compra de Vehículo Normal Tributario</t>
  </si>
  <si>
    <t xml:space="preserve">MAQUINARIA  </t>
  </si>
  <si>
    <t>Compra de Maquinaria Financiero</t>
  </si>
  <si>
    <t>Compra de Maquinaria Normal Tributario</t>
  </si>
  <si>
    <t>Compra de  Maquinaria  Acelerado Tributario</t>
  </si>
  <si>
    <t>Compra de Vehiculo Acelerado Tributario</t>
  </si>
  <si>
    <t>Compra de Terreno Financiero</t>
  </si>
  <si>
    <t>Compra de Bien Raíz  Financiero</t>
  </si>
  <si>
    <t>Compra de Bien Raíz Normal Tributario</t>
  </si>
  <si>
    <t>bien raíz</t>
  </si>
  <si>
    <t>GASTOS POR VACACIONES PERSONAL</t>
  </si>
  <si>
    <t>Determinación de la RLI   Régimen de Renta Semi-Integrada  AT 2023    del artículo 14 A</t>
  </si>
  <si>
    <t>A. DETERMINACIÓN DE LA RENTA LÍQUIDA IMPONIBLE:</t>
  </si>
  <si>
    <t>Resultado según balance financiero al 31 de diciembre de 2022</t>
  </si>
  <si>
    <t xml:space="preserve">                                                                                                                                                                                 </t>
  </si>
  <si>
    <t>Corrección monetaria activos fijos</t>
  </si>
  <si>
    <t>Corrección Monetaria Saldo Acreedor (Art. 32 Nº 2 LIR).</t>
  </si>
  <si>
    <t>Corrección monetaria de los PPMO</t>
  </si>
  <si>
    <t>Corrección monetaria retiros/ dividendos/ remesas</t>
  </si>
  <si>
    <t>Gastos de automòviles</t>
  </si>
  <si>
    <t>Partidas del inciso primero no afectas al 40% del artículo 21 LIR</t>
  </si>
  <si>
    <t>Impuesto a la renta at 2021</t>
  </si>
  <si>
    <t>Impuesto unico a la renta at 2022</t>
  </si>
  <si>
    <t>Impuesto IDPC voluntario at 2022</t>
  </si>
  <si>
    <t>Multas Fiscales y Legales</t>
  </si>
  <si>
    <t>Reajuste Impuesto a la renta at 2022</t>
  </si>
  <si>
    <t>Depreciación financiera</t>
  </si>
  <si>
    <t>Depreciación Financiera del ejercicio.</t>
  </si>
  <si>
    <t>Depreciación financiera Leasing</t>
  </si>
  <si>
    <t>Castigo Clientes financieramente</t>
  </si>
  <si>
    <t>Estimación y/o castigo deudores incobrables, según criterio financiero</t>
  </si>
  <si>
    <t>Ingresos Anticipados</t>
  </si>
  <si>
    <t>Rentas tributables no reconocidas financieramente.</t>
  </si>
  <si>
    <t>Gastos por donaciones no aceptados tributariamente</t>
  </si>
  <si>
    <t>Gastos agregados por donaciones.</t>
  </si>
  <si>
    <t xml:space="preserve">Intereses Leasing </t>
  </si>
  <si>
    <t>Gastos que se deben agregar a la RLI según el N°1 del Art. 33 LIR</t>
  </si>
  <si>
    <t xml:space="preserve">Gastos diferido </t>
  </si>
  <si>
    <t>Gastos no documentados beneficiario empresa</t>
  </si>
  <si>
    <t>Gastos no documentados beneficiario accionista o socio</t>
  </si>
  <si>
    <t>Ingreso diferido por cambio de régimen</t>
  </si>
  <si>
    <t>Pérdidas por ingresos no renta ( art 17 LIR) generados</t>
  </si>
  <si>
    <t>Proporcionalidad gastos ingresos no rentas</t>
  </si>
  <si>
    <t>Intereses devengados por inversiones bonos del artículo104 LIR</t>
  </si>
  <si>
    <t>Ingresos devengados por cambio de régimen</t>
  </si>
  <si>
    <t>2.- Deducciones: (*)</t>
  </si>
  <si>
    <t xml:space="preserve">Corrección Monetaria CPT </t>
  </si>
  <si>
    <t>Corrección Monetaria Saldo Deudor (Art. 32 Nº 1 LIR).</t>
  </si>
  <si>
    <t>Corrección Monetaria Depreciación acumulada</t>
  </si>
  <si>
    <t xml:space="preserve">Corrección Monetaria aumentos de capital </t>
  </si>
  <si>
    <t>Gastos adeudados por cambio de régimen</t>
  </si>
  <si>
    <t>Castigo clientes aceptados tributariamente</t>
  </si>
  <si>
    <t>Castigo de deudas incobrables según artículo 31 inc 4º Nº4 LIR</t>
  </si>
  <si>
    <t>Amortización de intangibles artículo 22 transitorio bis 4º,5º y 6º Ley 21210</t>
  </si>
  <si>
    <t>Depreciación tributaria</t>
  </si>
  <si>
    <t>Depreciación Tributaria del ejercicio.</t>
  </si>
  <si>
    <t>Gasto Goodwill Tributario del ejercicio.</t>
  </si>
  <si>
    <t>Impuesto Específico a la Actividad Minera.</t>
  </si>
  <si>
    <t>Gastos Rechazados afectos a la tributación del Inc. 1° Art. 21 LIR</t>
  </si>
  <si>
    <t>Gastos Rechazados afectos a la tributación del Inc. 3° Art. 21 LIR</t>
  </si>
  <si>
    <t>Cuota Leasing</t>
  </si>
  <si>
    <t>Otras Partidas.</t>
  </si>
  <si>
    <t>Rentas Exentas Impto. 1ª Categoría (Art. 33 N°2 LIR).</t>
  </si>
  <si>
    <t>Dividendos percibidos</t>
  </si>
  <si>
    <t>Dividendos y/o Utilidades Sociales percibidos o devengados (Art.33 N°2 LIR).</t>
  </si>
  <si>
    <t>Dividendos y/o Utilidades Sociales percibidos o devengados (Art.33 N°2 LIR) INR</t>
  </si>
  <si>
    <t>Gastos aceptados por donaciones.</t>
  </si>
  <si>
    <t>Subidio sueldo mínimo Mypimes</t>
  </si>
  <si>
    <t>Ingresos No Renta (Art. 17 LIR).</t>
  </si>
  <si>
    <t>Pérdida de ejercicios anteriores</t>
  </si>
  <si>
    <t>Pérdidas de Ejercicios Anteriores (Art. 31 N°3 LIR).</t>
  </si>
  <si>
    <t>4.- Si el Sub total anterior es positivo, Rebaja por pago del IDPC en carácter de voluntario según articulo 14 letra A Nº 6 LIR con tope</t>
  </si>
  <si>
    <t>de dicho monto</t>
  </si>
  <si>
    <t>BASE IMPONIBLE IDPC AT 2022</t>
  </si>
  <si>
    <t xml:space="preserve">TOPE  </t>
  </si>
  <si>
    <t xml:space="preserve">MONTO A REBAJAR AÑO SIGUIENTE </t>
  </si>
  <si>
    <t>5.- Si el Subtotal anterior es negativo imputar a las rentas afectas IGC o IA con tope de dicho monto</t>
  </si>
  <si>
    <t>Pérdida Tributaria</t>
  </si>
  <si>
    <t>Dividendo o utilidades recibidas de otras empresas afectos a IF</t>
  </si>
  <si>
    <r>
      <t xml:space="preserve">Incremento </t>
    </r>
    <r>
      <rPr>
        <sz val="11"/>
        <rFont val="Calibri"/>
        <family val="2"/>
      </rPr>
      <t>del inciso final del N°1 del artículo 54 y de los artículos 58 N°2 y 62, todos de la LIR</t>
    </r>
    <r>
      <rPr>
        <sz val="11"/>
        <rFont val="Calibri"/>
        <family val="2"/>
      </rPr>
      <t xml:space="preserve"> </t>
    </r>
  </si>
  <si>
    <t>Dividendo o utilidad incrementada</t>
  </si>
  <si>
    <t>Menor valor</t>
  </si>
  <si>
    <t>90% pèrdida tributaria v/s 90% dividendo o utilidad incrementada</t>
  </si>
  <si>
    <t>Saldo Monto no absorbido (Pérdida Tributaria)</t>
  </si>
  <si>
    <t>Determinación del PPUA</t>
  </si>
  <si>
    <t>Renta absorbida por la pérdida tributaria</t>
  </si>
  <si>
    <t>PPUA</t>
  </si>
  <si>
    <t>Crédito no absorbido por la pérdida</t>
  </si>
  <si>
    <r>
      <t xml:space="preserve">Renta Líquida Imponible de Primera Categoría o Pérdida Tributaria </t>
    </r>
    <r>
      <rPr>
        <b/>
        <sz val="12"/>
        <rFont val="Calibri"/>
        <family val="2"/>
      </rPr>
      <t>(**)</t>
    </r>
  </si>
  <si>
    <t>B. DETERMINACIÓN DE LA RENTA LIQUIDA IMPONIBLE ARTICULO 21 INCISO 1°:</t>
  </si>
  <si>
    <t>Gastos Rechazados artículo 21 inciso 1 pagados</t>
  </si>
  <si>
    <t>Renta Líquida</t>
  </si>
  <si>
    <t>Impuesto Unico</t>
  </si>
  <si>
    <t>Sección A: Identificación del Declarante</t>
  </si>
  <si>
    <t>ROL UNICO TRIBUTARIO</t>
  </si>
  <si>
    <t>RAZON SOCIAL</t>
  </si>
  <si>
    <t>VENTA DE BCM E INVERSIONES LOS ANDES  LTDA</t>
  </si>
  <si>
    <t>DOMICILIO POSTAL</t>
  </si>
  <si>
    <t>COMUNA</t>
  </si>
  <si>
    <t>CORREO ELECTRÓNICO</t>
  </si>
  <si>
    <t>FAX</t>
  </si>
  <si>
    <t>TELÉFONO</t>
  </si>
  <si>
    <t>Sección B: Otros Antecedentes del declarante</t>
  </si>
  <si>
    <t>Actividad Económica Principal</t>
  </si>
  <si>
    <t>Entidad Supervisora directa</t>
  </si>
  <si>
    <t>Año Ajuste IFRS 1a Aplicación</t>
  </si>
  <si>
    <t>Folio Balance</t>
  </si>
  <si>
    <t>N° Inicio</t>
  </si>
  <si>
    <t>N° Final</t>
  </si>
  <si>
    <t>Sección C: Detalle de las cuentas contenidas en el balance de 8 Columnas</t>
  </si>
  <si>
    <t>N°</t>
  </si>
  <si>
    <t>Id. Plan de Cuentas utilizado en registros contables</t>
  </si>
  <si>
    <t>Id. Cuenta según clasificador de cuentas</t>
  </si>
  <si>
    <t>Nombre de la Cuenta según registros contables</t>
  </si>
  <si>
    <t xml:space="preserve">Créditos </t>
  </si>
  <si>
    <t>Saldo Deudor</t>
  </si>
  <si>
    <t>Saldo Acreedor</t>
  </si>
  <si>
    <t>Código Cuenta Recuadro N° 2 Formulario 22</t>
  </si>
  <si>
    <t>CUADRO RESUMEN DE LA DECLARACIÓN SECCIÓN C</t>
  </si>
  <si>
    <t>Total Datos informados</t>
  </si>
  <si>
    <t>Total Débitos</t>
  </si>
  <si>
    <t xml:space="preserve">Total Créditos </t>
  </si>
  <si>
    <t>Total Saldo Deudor</t>
  </si>
  <si>
    <t>Total Saldo Acreedor</t>
  </si>
  <si>
    <t>Total Activo</t>
  </si>
  <si>
    <t>Total Pasivo</t>
  </si>
  <si>
    <t>Total Pérdidas</t>
  </si>
  <si>
    <t>Total Ganancias</t>
  </si>
  <si>
    <t>Resultado según Balance</t>
  </si>
  <si>
    <t>Balance</t>
  </si>
  <si>
    <t>DECLARO BAJO JURAMENTO QUE LOS DATOS CONTENIDOS EN EL PRESENTE DOCUMENTO SON LA EXPRESIÓN FIEL DE LA VERDAD, POR LO QUE ASUMO LA RESPONSABILIDAD CORRESPONDIENTE</t>
  </si>
  <si>
    <t>RUT REPRESENTANTE LEGAL</t>
  </si>
  <si>
    <t>RECUADRO Nº 14:  RAZONABILIDAD CAPITAL PROPIO TRIBUTARIO</t>
  </si>
  <si>
    <t>Capital propio tributario positivo inicial</t>
  </si>
  <si>
    <t>Capital propio tributario negativo inicial</t>
  </si>
  <si>
    <t>Corrección monetaria capital propio tributario inicial</t>
  </si>
  <si>
    <t>Aumentos (efectivos) de capital del ejercicio, actualizados</t>
  </si>
  <si>
    <t>Disminuciones (efectivas) de capital del ejercicio, actualizadas</t>
  </si>
  <si>
    <t>Renta líquida imponible afecta a IDPC del ejercicio</t>
  </si>
  <si>
    <t>Pérdidas de ejercicios anteriores (art. 31 N° 3 LIR)</t>
  </si>
  <si>
    <t>Remesas, retiros o dividendos distribuidos en el ejercicio, reajustados</t>
  </si>
  <si>
    <t>Partidas del inciso primero no afectas al IU de tasa 40% y del inciso segundo, del art. 21 LIR, reajustados</t>
  </si>
  <si>
    <t>Aumentos del ejercicio (por reorganizaciones)</t>
  </si>
  <si>
    <t>Disminuciones del ejercicio (por reorganizaciones)</t>
  </si>
  <si>
    <t>Base del IDPC voluntario según  art. 14 letra A) N°  6 LIR</t>
  </si>
  <si>
    <t>Capital propio tributario positivo</t>
  </si>
  <si>
    <t xml:space="preserve">Capital propio tributario negativo </t>
  </si>
  <si>
    <t>Provisión impuesto a la renta AT-2023</t>
  </si>
  <si>
    <t>Partidas del inciso primero afectas al 40% del artículo 21 LIR</t>
  </si>
  <si>
    <t>Provisión impuesto único AT-2023</t>
  </si>
  <si>
    <t xml:space="preserve">Gastos no documentados beneficiario empresa </t>
  </si>
  <si>
    <t>impuesto unico</t>
  </si>
  <si>
    <t>12,-</t>
  </si>
  <si>
    <t>44064</t>
  </si>
  <si>
    <t>IMPUESTO UNICO A LA RENTA</t>
  </si>
  <si>
    <t>CPT</t>
  </si>
  <si>
    <t>Costo de Venta Financiero</t>
  </si>
  <si>
    <t xml:space="preserve">Costo venta </t>
  </si>
  <si>
    <t>Costo de Ventas Tributario</t>
  </si>
  <si>
    <t xml:space="preserve">Corrección monetaria de las inversiones </t>
  </si>
  <si>
    <t>Provisión de Vacaciones Personal</t>
  </si>
  <si>
    <t>Estimación según criterio financiero</t>
  </si>
  <si>
    <t>Costo venta financiero</t>
  </si>
  <si>
    <t xml:space="preserve">Costo venta tributario </t>
  </si>
  <si>
    <t>Pago de impuesto renta abril 2023</t>
  </si>
  <si>
    <t>Compra de Terreno Normal Tributario</t>
  </si>
  <si>
    <t>Compra de Bien Raíz  Acelerado Tributario</t>
  </si>
  <si>
    <t>Compra de Edificio por Leasing</t>
  </si>
  <si>
    <t>Corrección Monetaria a diciembre  4,8%</t>
  </si>
  <si>
    <t>abono de las ventas de enero</t>
  </si>
  <si>
    <t xml:space="preserve">provisión de gastos </t>
  </si>
  <si>
    <t xml:space="preserve">intereses préstamo bancario </t>
  </si>
  <si>
    <t>Valor de adquisición según factura (2/2/2023)</t>
  </si>
  <si>
    <t>UTLIDADES ACUMULADAS</t>
  </si>
  <si>
    <t>DIVIDENDO POR PAGAR</t>
  </si>
  <si>
    <t>Determinación de la RLI   Régimen de Renta Semi-Integrada  AT 2024    del artículo 14 A</t>
  </si>
  <si>
    <t>Resultado según balance financiero al 31 de diciembre de 2023</t>
  </si>
  <si>
    <t>Provisión impuesto a la renta AT-2024</t>
  </si>
  <si>
    <t>pago impuesto renta</t>
  </si>
  <si>
    <t>Pago de impuestos renta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</si>
</sst>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2" formatCode="_ &quot;$&quot;* #,##0_ ;_ &quot;$&quot;* \-#,##0_ ;_ &quot;$&quot;* &quot;-&quot;_ ;_ @_ "/>
    <numFmt numFmtId="41" formatCode="_ * #,##0_ ;_ * \-#,##0_ ;_ * &quot;-&quot;_ ;_ @_ "/>
    <numFmt numFmtId="43" formatCode="_ * #,##0.00_ ;_ * \-#,##0.00_ ;_ * &quot;-&quot;??_ ;_ @_ "/>
    <numFmt numFmtId="164" formatCode="_-&quot;$&quot;\ * #,##0.00_-;\-&quot;$&quot;\ * #,##0.00_-;_-&quot;$&quot;\ * &quot;-&quot;??_-;_-@_-"/>
    <numFmt numFmtId="165" formatCode="_-&quot;$&quot;\ * #,##0_-;\-&quot;$&quot;\ * #,##0_-;_-&quot;$&quot;\ * &quot;-&quot;??_-;_-@_-"/>
    <numFmt numFmtId="166" formatCode="_-* #,##0.00_-;\-* #,##0.00_-;_-* &quot;-&quot;??_-;_-@_-"/>
    <numFmt numFmtId="167" formatCode="_-* #,##0_-;\-* #,##0_-;_-* &quot;-&quot;??_-;_-@_-"/>
    <numFmt numFmtId="168" formatCode="&quot;$&quot;#,##0"/>
    <numFmt numFmtId="169" formatCode="#,##0&quot;$&quot;"/>
    <numFmt numFmtId="170" formatCode="_-* #,##0&quot;$&quot;_-;\-* #,##0&quot;$&quot;_-;_-* &quot;-&quot;&quot;$&quot;_-;_-@_-"/>
    <numFmt numFmtId="171" formatCode="_-[$€-2]\ * #,##0.00_-;\-[$€-2]\ * #,##0.00_-;_-[$€-2]\ * &quot;-&quot;??_-"/>
    <numFmt numFmtId="172" formatCode="_-* #,##0.00\ _€_-;\-* #,##0.00\ _€_-;_-* &quot;-&quot;??\ _€_-;_-@_-"/>
    <numFmt numFmtId="173" formatCode="_(* #,##0.00_);_(* \(#,##0.00\);_(* &quot;-&quot;??_);_(@_)"/>
    <numFmt numFmtId="174" formatCode="_-* #,##0.00\ _$_-;\-* #,##0.00\ _$_-;_-* &quot;-&quot;??\ _$_-;_-@_-"/>
    <numFmt numFmtId="175" formatCode="_(* #,##0_);_(* \(#,##0\);_(* &quot;-&quot;??_);_(@_)"/>
    <numFmt numFmtId="176" formatCode="_-&quot;$&quot;* #,##0.00_-;\-&quot;$&quot;* #,##0.00_-;_-&quot;$&quot;* &quot;-&quot;??_-;_-@_-"/>
    <numFmt numFmtId="177" formatCode="_-* #,##0.00\ &quot;€&quot;_-;\-* #,##0.00\ &quot;€&quot;_-;_-* &quot;-&quot;??\ &quot;€&quot;_-;_-@_-"/>
    <numFmt numFmtId="178" formatCode="&quot;$&quot;\ #,##0"/>
    <numFmt numFmtId="179" formatCode="#,##0;[Red]\(#,##0\)"/>
    <numFmt numFmtId="185" formatCode="0.0%"/>
  </numFmts>
  <fonts count="8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4"/>
      <color indexed="8"/>
      <name val="Calibri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9"/>
      <name val="Czcionka tekstu podstawowego"/>
      <family val="2"/>
      <charset val="238"/>
    </font>
    <font>
      <b/>
      <sz val="8"/>
      <name val="Verdana"/>
      <family val="2"/>
    </font>
    <font>
      <sz val="8"/>
      <name val="Verdana"/>
      <family val="2"/>
    </font>
    <font>
      <b/>
      <sz val="12"/>
      <color indexed="8"/>
      <name val="Calibri"/>
      <family val="2"/>
    </font>
    <font>
      <b/>
      <sz val="13"/>
      <color indexed="8"/>
      <name val="Calibri"/>
      <family val="2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  <charset val="134"/>
    </font>
    <font>
      <sz val="10"/>
      <name val="Verdana"/>
      <family val="2"/>
    </font>
    <font>
      <b/>
      <sz val="12"/>
      <name val="Arial"/>
      <family val="2"/>
    </font>
    <font>
      <b/>
      <sz val="7"/>
      <color theme="1"/>
      <name val="Calibri"/>
      <family val="2"/>
      <scheme val="minor"/>
    </font>
    <font>
      <b/>
      <sz val="10"/>
      <name val="Verdana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2"/>
      <color indexed="10"/>
      <name val="Calibri"/>
      <family val="2"/>
      <charset val="136"/>
    </font>
    <font>
      <b/>
      <sz val="12"/>
      <color indexed="52"/>
      <name val="Calibri"/>
      <family val="2"/>
      <charset val="136"/>
    </font>
    <font>
      <b/>
      <sz val="11"/>
      <color indexed="52"/>
      <name val="Calibri"/>
      <family val="2"/>
    </font>
    <font>
      <b/>
      <sz val="12"/>
      <color indexed="9"/>
      <name val="Calibri"/>
      <family val="2"/>
      <charset val="136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2"/>
      <color indexed="17"/>
      <name val="Calibri"/>
      <family val="2"/>
      <charset val="136"/>
    </font>
    <font>
      <b/>
      <sz val="15"/>
      <color indexed="56"/>
      <name val="Calibri"/>
      <family val="2"/>
      <charset val="136"/>
    </font>
    <font>
      <b/>
      <sz val="13"/>
      <color indexed="56"/>
      <name val="Calibri"/>
      <family val="2"/>
      <charset val="136"/>
    </font>
    <font>
      <b/>
      <sz val="11"/>
      <color indexed="56"/>
      <name val="Calibri"/>
      <family val="2"/>
      <charset val="136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2"/>
      <color indexed="23"/>
      <name val="Calibri"/>
      <family val="2"/>
      <charset val="136"/>
    </font>
    <font>
      <u/>
      <sz val="11"/>
      <color theme="10"/>
      <name val="Calibri"/>
      <family val="2"/>
      <scheme val="minor"/>
    </font>
    <font>
      <u/>
      <sz val="11.65"/>
      <color theme="10"/>
      <name val="Calibri"/>
      <family val="2"/>
    </font>
    <font>
      <u/>
      <sz val="11"/>
      <color theme="10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0"/>
      <color rgb="FF000000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8"/>
      <color indexed="9"/>
      <name val="Verdana"/>
      <family val="2"/>
    </font>
    <font>
      <b/>
      <sz val="9"/>
      <name val="Verdana"/>
      <family val="2"/>
    </font>
    <font>
      <sz val="11"/>
      <color indexed="17"/>
      <name val="Calibri"/>
      <family val="2"/>
    </font>
    <font>
      <sz val="10"/>
      <color indexed="8"/>
      <name val="Arial"/>
      <family val="2"/>
    </font>
    <font>
      <b/>
      <sz val="15"/>
      <color indexed="56"/>
      <name val="Calibri"/>
      <family val="2"/>
    </font>
    <font>
      <sz val="11"/>
      <color rgb="FFFF0000"/>
      <name val="Calibri"/>
      <family val="2"/>
    </font>
    <font>
      <b/>
      <sz val="14"/>
      <color theme="1"/>
      <name val="Calibri"/>
      <family val="2"/>
      <scheme val="minor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b/>
      <sz val="12"/>
      <color indexed="8"/>
      <name val="Verdana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indexed="8"/>
      <name val="Verdana"/>
      <family val="2"/>
    </font>
    <font>
      <u/>
      <sz val="11"/>
      <color indexed="30"/>
      <name val="Arial Black"/>
      <family val="2"/>
    </font>
    <font>
      <sz val="11"/>
      <color rgb="FF000000"/>
      <name val="Calibri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name val="Calibri"/>
      <family val="2"/>
    </font>
    <font>
      <sz val="11"/>
      <name val="Arial"/>
      <family val="2"/>
    </font>
    <font>
      <sz val="12"/>
      <name val="Arial"/>
      <family val="2"/>
    </font>
    <font>
      <sz val="6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sz val="5"/>
      <name val="Arial"/>
      <family val="2"/>
    </font>
    <font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8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3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3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22">
    <xf numFmtId="0" fontId="0" fillId="0" borderId="0"/>
    <xf numFmtId="164" fontId="10" fillId="0" borderId="0" applyFont="0" applyFill="0" applyBorder="0" applyAlignment="0" applyProtection="0"/>
    <xf numFmtId="0" fontId="3" fillId="0" borderId="0"/>
    <xf numFmtId="0" fontId="4" fillId="0" borderId="0"/>
    <xf numFmtId="0" fontId="1" fillId="0" borderId="0"/>
    <xf numFmtId="0" fontId="12" fillId="2" borderId="0" applyNumberFormat="0" applyBorder="0" applyAlignment="0" applyProtection="0"/>
    <xf numFmtId="42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9" fillId="0" borderId="0" applyFont="0" applyFill="0" applyBorder="0" applyAlignment="0" applyProtection="0">
      <alignment vertical="center"/>
    </xf>
    <xf numFmtId="166" fontId="1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0" fillId="0" borderId="0">
      <alignment vertical="center"/>
    </xf>
    <xf numFmtId="0" fontId="19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10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21" fillId="0" borderId="0"/>
    <xf numFmtId="170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26" fillId="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7" fillId="0" borderId="0" applyNumberFormat="0" applyFill="0" applyBorder="0" applyAlignment="0" applyProtection="0"/>
    <xf numFmtId="0" fontId="28" fillId="19" borderId="40" applyNumberFormat="0" applyAlignment="0" applyProtection="0"/>
    <xf numFmtId="0" fontId="29" fillId="19" borderId="40" applyNumberFormat="0" applyAlignment="0" applyProtection="0"/>
    <xf numFmtId="0" fontId="30" fillId="20" borderId="41" applyNumberFormat="0" applyAlignment="0" applyProtection="0"/>
    <xf numFmtId="0" fontId="31" fillId="20" borderId="41" applyNumberFormat="0" applyAlignment="0" applyProtection="0"/>
    <xf numFmtId="0" fontId="32" fillId="0" borderId="42" applyNumberFormat="0" applyFill="0" applyAlignment="0" applyProtection="0"/>
    <xf numFmtId="0" fontId="33" fillId="8" borderId="0" applyNumberFormat="0" applyBorder="0" applyAlignment="0" applyProtection="0"/>
    <xf numFmtId="0" fontId="34" fillId="0" borderId="43" applyNumberFormat="0" applyFill="0" applyAlignment="0" applyProtection="0"/>
    <xf numFmtId="0" fontId="35" fillId="0" borderId="44" applyNumberFormat="0" applyFill="0" applyAlignment="0" applyProtection="0"/>
    <xf numFmtId="0" fontId="36" fillId="0" borderId="45" applyNumberFormat="0" applyFill="0" applyAlignment="0" applyProtection="0"/>
    <xf numFmtId="0" fontId="37" fillId="0" borderId="0" applyNumberFormat="0" applyFill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24" borderId="0" applyNumberFormat="0" applyBorder="0" applyAlignment="0" applyProtection="0"/>
    <xf numFmtId="0" fontId="38" fillId="11" borderId="40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3" fillId="7" borderId="0" applyNumberFormat="0" applyBorder="0" applyAlignment="0" applyProtection="0"/>
    <xf numFmtId="41" fontId="1" fillId="0" borderId="0" applyFont="0" applyFill="0" applyBorder="0" applyAlignment="0" applyProtection="0"/>
    <xf numFmtId="41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3" fillId="0" borderId="0" applyFont="0" applyFill="0" applyBorder="0" applyAlignment="0" applyProtection="0"/>
    <xf numFmtId="174" fontId="19" fillId="0" borderId="0" applyFont="0" applyFill="0" applyBorder="0" applyAlignment="0" applyProtection="0"/>
    <xf numFmtId="166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3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6" fontId="10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44" fillId="25" borderId="0" applyNumberFormat="0" applyBorder="0" applyAlignment="0" applyProtection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4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5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46" fillId="0" borderId="0"/>
    <xf numFmtId="0" fontId="45" fillId="0" borderId="0"/>
    <xf numFmtId="0" fontId="3" fillId="0" borderId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25" borderId="46" applyNumberFormat="0" applyFont="0" applyAlignment="0" applyProtection="0"/>
    <xf numFmtId="0" fontId="3" fillId="25" borderId="46" applyNumberFormat="0" applyFont="0" applyAlignment="0" applyProtection="0"/>
    <xf numFmtId="0" fontId="3" fillId="26" borderId="46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7" fillId="19" borderId="47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44" applyNumberFormat="0" applyFill="0" applyAlignment="0" applyProtection="0"/>
    <xf numFmtId="0" fontId="37" fillId="0" borderId="45" applyNumberFormat="0" applyFill="0" applyAlignment="0" applyProtection="0"/>
    <xf numFmtId="0" fontId="51" fillId="0" borderId="0" applyNumberFormat="0" applyFill="0" applyBorder="0" applyAlignment="0" applyProtection="0"/>
    <xf numFmtId="0" fontId="2" fillId="0" borderId="48" applyNumberFormat="0" applyFill="0" applyAlignment="0" applyProtection="0"/>
    <xf numFmtId="0" fontId="10" fillId="0" borderId="0"/>
    <xf numFmtId="0" fontId="3" fillId="0" borderId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26" fillId="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54" fillId="8" borderId="0" applyNumberFormat="0" applyBorder="0" applyAlignment="0" applyProtection="0"/>
    <xf numFmtId="0" fontId="54" fillId="8" borderId="0" applyNumberFormat="0" applyBorder="0" applyAlignment="0" applyProtection="0"/>
    <xf numFmtId="0" fontId="29" fillId="19" borderId="40" applyNumberFormat="0" applyAlignment="0" applyProtection="0"/>
    <xf numFmtId="0" fontId="31" fillId="20" borderId="41" applyNumberFormat="0" applyAlignment="0" applyProtection="0"/>
    <xf numFmtId="0" fontId="32" fillId="0" borderId="42" applyNumberFormat="0" applyFill="0" applyAlignment="0" applyProtection="0"/>
    <xf numFmtId="166" fontId="3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24" borderId="0" applyNumberFormat="0" applyBorder="0" applyAlignment="0" applyProtection="0"/>
    <xf numFmtId="0" fontId="38" fillId="11" borderId="40" applyNumberFormat="0" applyAlignment="0" applyProtection="0"/>
    <xf numFmtId="0" fontId="43" fillId="7" borderId="0" applyNumberFormat="0" applyBorder="0" applyAlignment="0" applyProtection="0"/>
    <xf numFmtId="178" fontId="10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2" fontId="10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44" fillId="25" borderId="0" applyNumberFormat="0" applyBorder="0" applyAlignment="0" applyProtection="0"/>
    <xf numFmtId="0" fontId="3" fillId="0" borderId="0"/>
    <xf numFmtId="0" fontId="3" fillId="0" borderId="0"/>
    <xf numFmtId="0" fontId="1" fillId="0" borderId="0"/>
    <xf numFmtId="0" fontId="10" fillId="0" borderId="0"/>
    <xf numFmtId="0" fontId="10" fillId="0" borderId="0"/>
    <xf numFmtId="0" fontId="3" fillId="26" borderId="46" applyNumberFormat="0" applyFont="0" applyAlignment="0" applyProtection="0"/>
    <xf numFmtId="0" fontId="47" fillId="19" borderId="47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6" fillId="0" borderId="43" applyNumberFormat="0" applyFill="0" applyAlignment="0" applyProtection="0"/>
    <xf numFmtId="0" fontId="50" fillId="0" borderId="44" applyNumberFormat="0" applyFill="0" applyAlignment="0" applyProtection="0"/>
    <xf numFmtId="0" fontId="37" fillId="0" borderId="45" applyNumberFormat="0" applyFill="0" applyAlignment="0" applyProtection="0"/>
    <xf numFmtId="0" fontId="51" fillId="0" borderId="0" applyNumberFormat="0" applyFill="0" applyBorder="0" applyAlignment="0" applyProtection="0"/>
    <xf numFmtId="0" fontId="2" fillId="0" borderId="48" applyNumberFormat="0" applyFill="0" applyAlignment="0" applyProtection="0"/>
    <xf numFmtId="164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66" fillId="0" borderId="0"/>
    <xf numFmtId="41" fontId="66" fillId="0" borderId="0" applyFont="0" applyFill="0" applyBorder="0" applyAlignment="0" applyProtection="0"/>
    <xf numFmtId="41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66" fillId="0" borderId="0" applyBorder="0"/>
    <xf numFmtId="0" fontId="66" fillId="0" borderId="0"/>
    <xf numFmtId="9" fontId="3" fillId="0" borderId="0" applyFont="0" applyFill="0" applyBorder="0" applyAlignment="0" applyProtection="0"/>
    <xf numFmtId="0" fontId="70" fillId="0" borderId="0" applyNumberFormat="0" applyFill="0" applyBorder="0">
      <alignment vertical="center"/>
    </xf>
    <xf numFmtId="0" fontId="40" fillId="0" borderId="0" applyNumberFormat="0" applyFill="0" applyBorder="0" applyAlignment="0" applyProtection="0"/>
  </cellStyleXfs>
  <cellXfs count="564">
    <xf numFmtId="0" fontId="0" fillId="0" borderId="0" xfId="0"/>
    <xf numFmtId="3" fontId="5" fillId="0" borderId="0" xfId="3" applyNumberFormat="1" applyFont="1"/>
    <xf numFmtId="3" fontId="6" fillId="0" borderId="0" xfId="3" applyNumberFormat="1" applyFont="1"/>
    <xf numFmtId="3" fontId="8" fillId="0" borderId="0" xfId="3" applyNumberFormat="1" applyFont="1"/>
    <xf numFmtId="0" fontId="0" fillId="0" borderId="0" xfId="0" applyFill="1"/>
    <xf numFmtId="3" fontId="0" fillId="0" borderId="0" xfId="0" applyNumberFormat="1"/>
    <xf numFmtId="0" fontId="6" fillId="0" borderId="0" xfId="3" applyNumberFormat="1" applyFont="1" applyAlignment="1">
      <alignment horizontal="center"/>
    </xf>
    <xf numFmtId="3" fontId="6" fillId="0" borderId="0" xfId="3" applyNumberFormat="1" applyFont="1" applyFill="1" applyBorder="1"/>
    <xf numFmtId="0" fontId="11" fillId="0" borderId="0" xfId="0" applyFont="1"/>
    <xf numFmtId="0" fontId="11" fillId="0" borderId="0" xfId="0" applyFont="1" applyAlignment="1">
      <alignment horizontal="right"/>
    </xf>
    <xf numFmtId="0" fontId="1" fillId="0" borderId="2" xfId="4" applyFill="1" applyBorder="1"/>
    <xf numFmtId="165" fontId="1" fillId="0" borderId="6" xfId="1" applyNumberFormat="1" applyFont="1" applyFill="1" applyBorder="1"/>
    <xf numFmtId="165" fontId="1" fillId="0" borderId="0" xfId="1" applyNumberFormat="1" applyFont="1" applyFill="1"/>
    <xf numFmtId="165" fontId="1" fillId="0" borderId="7" xfId="1" applyNumberFormat="1" applyFont="1" applyFill="1" applyBorder="1"/>
    <xf numFmtId="165" fontId="1" fillId="0" borderId="2" xfId="1" applyNumberFormat="1" applyFont="1" applyFill="1" applyBorder="1"/>
    <xf numFmtId="0" fontId="11" fillId="0" borderId="0" xfId="0" applyFont="1" applyFill="1" applyAlignment="1">
      <alignment horizontal="right"/>
    </xf>
    <xf numFmtId="165" fontId="2" fillId="0" borderId="0" xfId="1" applyNumberFormat="1" applyFont="1" applyFill="1"/>
    <xf numFmtId="1" fontId="2" fillId="0" borderId="0" xfId="1" applyNumberFormat="1" applyFont="1" applyFill="1" applyAlignment="1">
      <alignment horizontal="left"/>
    </xf>
    <xf numFmtId="1" fontId="2" fillId="0" borderId="0" xfId="4" applyNumberFormat="1" applyFont="1" applyFill="1" applyAlignment="1">
      <alignment horizontal="left"/>
    </xf>
    <xf numFmtId="1" fontId="2" fillId="0" borderId="0" xfId="4" applyNumberFormat="1" applyFont="1" applyFill="1" applyBorder="1" applyAlignment="1">
      <alignment horizontal="left"/>
    </xf>
    <xf numFmtId="1" fontId="2" fillId="0" borderId="0" xfId="1" applyNumberFormat="1" applyFont="1" applyFill="1" applyBorder="1" applyAlignment="1">
      <alignment horizontal="left"/>
    </xf>
    <xf numFmtId="1" fontId="11" fillId="0" borderId="0" xfId="0" applyNumberFormat="1" applyFont="1" applyFill="1" applyAlignment="1">
      <alignment horizontal="left"/>
    </xf>
    <xf numFmtId="1" fontId="11" fillId="0" borderId="0" xfId="0" applyNumberFormat="1" applyFont="1" applyAlignment="1">
      <alignment horizontal="left"/>
    </xf>
    <xf numFmtId="0" fontId="2" fillId="0" borderId="0" xfId="4" applyFont="1" applyFill="1" applyAlignment="1">
      <alignment horizontal="right"/>
    </xf>
    <xf numFmtId="0" fontId="0" fillId="0" borderId="11" xfId="0" applyBorder="1"/>
    <xf numFmtId="3" fontId="5" fillId="0" borderId="14" xfId="3" applyNumberFormat="1" applyFont="1" applyBorder="1"/>
    <xf numFmtId="3" fontId="6" fillId="0" borderId="11" xfId="3" applyNumberFormat="1" applyFont="1" applyBorder="1"/>
    <xf numFmtId="3" fontId="6" fillId="0" borderId="11" xfId="3" applyNumberFormat="1" applyFont="1" applyFill="1" applyBorder="1"/>
    <xf numFmtId="0" fontId="6" fillId="0" borderId="25" xfId="3" applyNumberFormat="1" applyFont="1" applyBorder="1" applyAlignment="1">
      <alignment horizontal="center"/>
    </xf>
    <xf numFmtId="3" fontId="6" fillId="0" borderId="25" xfId="3" applyNumberFormat="1" applyFont="1" applyBorder="1"/>
    <xf numFmtId="3" fontId="6" fillId="0" borderId="25" xfId="3" applyNumberFormat="1" applyFont="1" applyBorder="1" applyAlignment="1">
      <alignment horizontal="center"/>
    </xf>
    <xf numFmtId="3" fontId="6" fillId="0" borderId="26" xfId="3" applyNumberFormat="1" applyFont="1" applyBorder="1" applyAlignment="1">
      <alignment horizontal="center"/>
    </xf>
    <xf numFmtId="0" fontId="5" fillId="0" borderId="11" xfId="3" applyNumberFormat="1" applyFont="1" applyBorder="1" applyAlignment="1">
      <alignment horizontal="center"/>
    </xf>
    <xf numFmtId="0" fontId="5" fillId="0" borderId="11" xfId="3" applyNumberFormat="1" applyFont="1" applyFill="1" applyBorder="1" applyAlignment="1">
      <alignment horizontal="center"/>
    </xf>
    <xf numFmtId="0" fontId="5" fillId="0" borderId="22" xfId="3" applyNumberFormat="1" applyFont="1" applyBorder="1" applyAlignment="1">
      <alignment horizontal="center"/>
    </xf>
    <xf numFmtId="3" fontId="6" fillId="0" borderId="16" xfId="3" applyNumberFormat="1" applyFont="1" applyFill="1" applyBorder="1"/>
    <xf numFmtId="0" fontId="5" fillId="0" borderId="16" xfId="3" applyNumberFormat="1" applyFont="1" applyBorder="1" applyAlignment="1">
      <alignment horizontal="center"/>
    </xf>
    <xf numFmtId="0" fontId="5" fillId="0" borderId="22" xfId="3" applyNumberFormat="1" applyFont="1" applyFill="1" applyBorder="1" applyAlignment="1">
      <alignment horizontal="center"/>
    </xf>
    <xf numFmtId="0" fontId="5" fillId="0" borderId="16" xfId="3" applyNumberFormat="1" applyFont="1" applyFill="1" applyBorder="1" applyAlignment="1">
      <alignment horizontal="center"/>
    </xf>
    <xf numFmtId="42" fontId="6" fillId="0" borderId="20" xfId="3" applyNumberFormat="1" applyFont="1" applyBorder="1"/>
    <xf numFmtId="42" fontId="6" fillId="0" borderId="11" xfId="3" applyNumberFormat="1" applyFont="1" applyBorder="1"/>
    <xf numFmtId="42" fontId="6" fillId="0" borderId="11" xfId="6" applyFont="1" applyFill="1" applyBorder="1"/>
    <xf numFmtId="42" fontId="6" fillId="0" borderId="20" xfId="6" applyFont="1" applyFill="1" applyBorder="1"/>
    <xf numFmtId="42" fontId="6" fillId="0" borderId="16" xfId="6" applyFont="1" applyFill="1" applyBorder="1"/>
    <xf numFmtId="42" fontId="6" fillId="0" borderId="28" xfId="6" applyFont="1" applyFill="1" applyBorder="1"/>
    <xf numFmtId="42" fontId="6" fillId="0" borderId="11" xfId="6" applyFont="1" applyBorder="1"/>
    <xf numFmtId="42" fontId="6" fillId="0" borderId="20" xfId="6" applyFont="1" applyBorder="1"/>
    <xf numFmtId="42" fontId="0" fillId="0" borderId="16" xfId="6" applyFont="1" applyFill="1" applyBorder="1"/>
    <xf numFmtId="0" fontId="0" fillId="0" borderId="0" xfId="0" applyBorder="1"/>
    <xf numFmtId="0" fontId="11" fillId="0" borderId="0" xfId="0" applyFont="1" applyAlignment="1">
      <alignment horizontal="center"/>
    </xf>
    <xf numFmtId="0" fontId="0" fillId="3" borderId="0" xfId="0" applyFill="1"/>
    <xf numFmtId="0" fontId="17" fillId="3" borderId="0" xfId="0" applyFont="1" applyFill="1"/>
    <xf numFmtId="0" fontId="11" fillId="3" borderId="0" xfId="0" applyFont="1" applyFill="1"/>
    <xf numFmtId="0" fontId="0" fillId="3" borderId="11" xfId="0" applyFill="1" applyBorder="1"/>
    <xf numFmtId="3" fontId="0" fillId="3" borderId="11" xfId="0" applyNumberFormat="1" applyFill="1" applyBorder="1"/>
    <xf numFmtId="0" fontId="18" fillId="3" borderId="0" xfId="0" applyFont="1" applyFill="1"/>
    <xf numFmtId="3" fontId="18" fillId="3" borderId="11" xfId="0" applyNumberFormat="1" applyFont="1" applyFill="1" applyBorder="1"/>
    <xf numFmtId="0" fontId="18" fillId="3" borderId="11" xfId="0" applyFont="1" applyFill="1" applyBorder="1"/>
    <xf numFmtId="0" fontId="11" fillId="3" borderId="1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3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19" applyFont="1"/>
    <xf numFmtId="0" fontId="3" fillId="0" borderId="0" xfId="19" applyFont="1"/>
    <xf numFmtId="0" fontId="3" fillId="0" borderId="0" xfId="19" applyFont="1" applyAlignment="1">
      <alignment wrapText="1"/>
    </xf>
    <xf numFmtId="0" fontId="3" fillId="0" borderId="0" xfId="19" applyFont="1" applyAlignment="1">
      <alignment horizontal="center" vertical="center" wrapText="1"/>
    </xf>
    <xf numFmtId="0" fontId="22" fillId="0" borderId="0" xfId="19" applyFont="1"/>
    <xf numFmtId="0" fontId="10" fillId="0" borderId="0" xfId="20"/>
    <xf numFmtId="0" fontId="10" fillId="4" borderId="0" xfId="20" applyFill="1" applyBorder="1"/>
    <xf numFmtId="0" fontId="10" fillId="0" borderId="0" xfId="20" applyBorder="1" applyAlignment="1">
      <alignment vertical="center" wrapText="1"/>
    </xf>
    <xf numFmtId="165" fontId="10" fillId="0" borderId="0" xfId="7" applyNumberFormat="1" applyFont="1" applyBorder="1" applyAlignment="1">
      <alignment vertical="center"/>
    </xf>
    <xf numFmtId="0" fontId="10" fillId="4" borderId="0" xfId="20" applyFill="1" applyBorder="1" applyAlignment="1">
      <alignment horizontal="center" vertical="center" wrapText="1"/>
    </xf>
    <xf numFmtId="0" fontId="10" fillId="0" borderId="0" xfId="20" applyBorder="1" applyAlignment="1">
      <alignment horizontal="center" vertical="center" wrapText="1"/>
    </xf>
    <xf numFmtId="0" fontId="11" fillId="5" borderId="0" xfId="20" applyFont="1" applyFill="1" applyBorder="1" applyAlignment="1">
      <alignment vertical="center" wrapText="1"/>
    </xf>
    <xf numFmtId="0" fontId="10" fillId="0" borderId="0" xfId="20" applyFill="1" applyBorder="1" applyAlignment="1">
      <alignment horizontal="center" vertical="center" wrapText="1"/>
    </xf>
    <xf numFmtId="0" fontId="10" fillId="0" borderId="0" xfId="20" applyAlignment="1">
      <alignment wrapText="1"/>
    </xf>
    <xf numFmtId="0" fontId="0" fillId="0" borderId="0" xfId="20" applyFont="1" applyFill="1" applyBorder="1" applyAlignment="1">
      <alignment horizontal="left" vertical="center" wrapText="1"/>
    </xf>
    <xf numFmtId="165" fontId="10" fillId="0" borderId="0" xfId="7" applyNumberFormat="1" applyFont="1" applyFill="1" applyBorder="1" applyAlignment="1">
      <alignment vertical="center" wrapText="1"/>
    </xf>
    <xf numFmtId="0" fontId="10" fillId="4" borderId="0" xfId="20" applyFill="1" applyBorder="1" applyAlignment="1">
      <alignment horizontal="justify" vertical="center" wrapText="1"/>
    </xf>
    <xf numFmtId="0" fontId="10" fillId="4" borderId="0" xfId="20" applyFill="1" applyBorder="1" applyAlignment="1">
      <alignment wrapText="1"/>
    </xf>
    <xf numFmtId="0" fontId="10" fillId="0" borderId="0" xfId="20" applyFill="1" applyBorder="1" applyAlignment="1">
      <alignment horizontal="left" vertical="center" wrapText="1"/>
    </xf>
    <xf numFmtId="0" fontId="10" fillId="0" borderId="0" xfId="20" applyFill="1" applyBorder="1" applyAlignment="1">
      <alignment vertical="center" wrapText="1"/>
    </xf>
    <xf numFmtId="0" fontId="11" fillId="0" borderId="2" xfId="20" applyFont="1" applyFill="1" applyBorder="1" applyAlignment="1">
      <alignment horizontal="left" vertical="center" wrapText="1"/>
    </xf>
    <xf numFmtId="165" fontId="11" fillId="0" borderId="2" xfId="7" applyNumberFormat="1" applyFont="1" applyFill="1" applyBorder="1" applyAlignment="1">
      <alignment vertical="center" wrapText="1"/>
    </xf>
    <xf numFmtId="165" fontId="11" fillId="0" borderId="0" xfId="7" applyNumberFormat="1" applyFont="1" applyFill="1" applyBorder="1" applyAlignment="1">
      <alignment vertical="center" wrapText="1"/>
    </xf>
    <xf numFmtId="165" fontId="10" fillId="0" borderId="39" xfId="7" applyNumberFormat="1" applyFont="1" applyFill="1" applyBorder="1" applyAlignment="1">
      <alignment vertical="center" wrapText="1"/>
    </xf>
    <xf numFmtId="0" fontId="10" fillId="4" borderId="0" xfId="20" applyFont="1" applyFill="1" applyBorder="1" applyAlignment="1">
      <alignment wrapText="1"/>
    </xf>
    <xf numFmtId="0" fontId="11" fillId="5" borderId="11" xfId="20" applyFont="1" applyFill="1" applyBorder="1" applyAlignment="1">
      <alignment horizontal="left" vertical="center" wrapText="1"/>
    </xf>
    <xf numFmtId="165" fontId="11" fillId="5" borderId="11" xfId="7" applyNumberFormat="1" applyFont="1" applyFill="1" applyBorder="1" applyAlignment="1">
      <alignment vertical="center" wrapText="1"/>
    </xf>
    <xf numFmtId="0" fontId="10" fillId="4" borderId="0" xfId="20" applyFill="1"/>
    <xf numFmtId="0" fontId="10" fillId="0" borderId="0" xfId="20" applyAlignment="1">
      <alignment vertical="center" wrapText="1"/>
    </xf>
    <xf numFmtId="165" fontId="10" fillId="0" borderId="0" xfId="7" applyNumberFormat="1" applyFont="1" applyAlignment="1">
      <alignment vertical="center"/>
    </xf>
    <xf numFmtId="0" fontId="11" fillId="5" borderId="11" xfId="20" applyFont="1" applyFill="1" applyBorder="1" applyAlignment="1">
      <alignment horizontal="center" vertical="center" wrapText="1"/>
    </xf>
    <xf numFmtId="165" fontId="11" fillId="5" borderId="11" xfId="7" applyNumberFormat="1" applyFont="1" applyFill="1" applyBorder="1" applyAlignment="1">
      <alignment horizontal="center" vertical="center"/>
    </xf>
    <xf numFmtId="0" fontId="10" fillId="0" borderId="0" xfId="20" applyAlignment="1">
      <alignment vertical="center"/>
    </xf>
    <xf numFmtId="0" fontId="10" fillId="4" borderId="0" xfId="20" applyFill="1" applyAlignment="1">
      <alignment vertical="center"/>
    </xf>
    <xf numFmtId="0" fontId="0" fillId="0" borderId="11" xfId="20" applyFont="1" applyBorder="1" applyAlignment="1">
      <alignment vertical="center" wrapText="1"/>
    </xf>
    <xf numFmtId="167" fontId="10" fillId="0" borderId="11" xfId="11" applyNumberFormat="1" applyFont="1" applyBorder="1" applyAlignment="1">
      <alignment vertical="center"/>
    </xf>
    <xf numFmtId="167" fontId="10" fillId="4" borderId="11" xfId="11" applyNumberFormat="1" applyFont="1" applyFill="1" applyBorder="1" applyAlignment="1">
      <alignment horizontal="center" vertical="center" wrapText="1"/>
    </xf>
    <xf numFmtId="167" fontId="10" fillId="0" borderId="11" xfId="20" applyNumberFormat="1" applyBorder="1" applyAlignment="1">
      <alignment horizontal="center" vertical="center" wrapText="1"/>
    </xf>
    <xf numFmtId="0" fontId="10" fillId="4" borderId="0" xfId="20" applyFill="1" applyAlignment="1">
      <alignment horizontal="center" vertical="center" wrapText="1"/>
    </xf>
    <xf numFmtId="0" fontId="10" fillId="0" borderId="0" xfId="20" applyAlignment="1">
      <alignment horizontal="center" vertical="center" wrapText="1"/>
    </xf>
    <xf numFmtId="0" fontId="0" fillId="0" borderId="0" xfId="20" applyFont="1" applyFill="1" applyBorder="1" applyAlignment="1">
      <alignment vertical="center" wrapText="1"/>
    </xf>
    <xf numFmtId="42" fontId="0" fillId="0" borderId="0" xfId="6" applyFont="1" applyFill="1" applyBorder="1"/>
    <xf numFmtId="42" fontId="0" fillId="0" borderId="0" xfId="0" applyNumberFormat="1"/>
    <xf numFmtId="0" fontId="23" fillId="0" borderId="17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0" fillId="0" borderId="16" xfId="0" applyBorder="1" applyAlignment="1">
      <alignment horizontal="center"/>
    </xf>
    <xf numFmtId="168" fontId="0" fillId="0" borderId="16" xfId="0" applyNumberFormat="1" applyBorder="1" applyAlignment="1">
      <alignment horizontal="center"/>
    </xf>
    <xf numFmtId="14" fontId="0" fillId="0" borderId="16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68" fontId="0" fillId="0" borderId="11" xfId="0" applyNumberForma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168" fontId="0" fillId="0" borderId="35" xfId="0" applyNumberFormat="1" applyBorder="1" applyAlignment="1">
      <alignment horizontal="center"/>
    </xf>
    <xf numFmtId="168" fontId="0" fillId="0" borderId="8" xfId="0" applyNumberFormat="1" applyBorder="1" applyAlignment="1">
      <alignment horizontal="center"/>
    </xf>
    <xf numFmtId="168" fontId="0" fillId="0" borderId="0" xfId="0" applyNumberFormat="1" applyAlignment="1">
      <alignment horizontal="center"/>
    </xf>
    <xf numFmtId="0" fontId="11" fillId="0" borderId="0" xfId="0" applyFont="1" applyFill="1" applyBorder="1" applyAlignment="1">
      <alignment horizontal="center"/>
    </xf>
    <xf numFmtId="168" fontId="0" fillId="0" borderId="0" xfId="0" applyNumberFormat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24" fillId="0" borderId="0" xfId="25" applyFont="1" applyFill="1"/>
    <xf numFmtId="0" fontId="21" fillId="0" borderId="0" xfId="25"/>
    <xf numFmtId="0" fontId="24" fillId="0" borderId="0" xfId="25" applyFont="1"/>
    <xf numFmtId="169" fontId="21" fillId="0" borderId="0" xfId="25" applyNumberFormat="1"/>
    <xf numFmtId="169" fontId="21" fillId="0" borderId="0" xfId="25" applyNumberFormat="1" applyFill="1"/>
    <xf numFmtId="0" fontId="21" fillId="0" borderId="0" xfId="25" applyFill="1"/>
    <xf numFmtId="169" fontId="21" fillId="0" borderId="0" xfId="25" applyNumberFormat="1" applyFont="1" applyFill="1" applyAlignment="1">
      <alignment horizontal="center"/>
    </xf>
    <xf numFmtId="3" fontId="21" fillId="0" borderId="0" xfId="26" applyNumberFormat="1" applyFont="1" applyFill="1"/>
    <xf numFmtId="10" fontId="21" fillId="0" borderId="0" xfId="27" applyNumberFormat="1" applyFont="1" applyFill="1"/>
    <xf numFmtId="3" fontId="21" fillId="0" borderId="0" xfId="25" applyNumberFormat="1" applyFill="1"/>
    <xf numFmtId="0" fontId="21" fillId="0" borderId="0" xfId="25" applyFill="1" applyAlignment="1">
      <alignment horizontal="center"/>
    </xf>
    <xf numFmtId="3" fontId="21" fillId="0" borderId="0" xfId="26" applyNumberFormat="1" applyFont="1" applyFill="1" applyAlignment="1">
      <alignment horizontal="center"/>
    </xf>
    <xf numFmtId="0" fontId="21" fillId="0" borderId="0" xfId="25" applyFont="1"/>
    <xf numFmtId="3" fontId="21" fillId="0" borderId="0" xfId="25" applyNumberFormat="1"/>
    <xf numFmtId="3" fontId="21" fillId="0" borderId="0" xfId="26" applyNumberFormat="1" applyFont="1"/>
    <xf numFmtId="169" fontId="21" fillId="0" borderId="0" xfId="25" applyNumberFormat="1" applyFont="1"/>
    <xf numFmtId="0" fontId="5" fillId="0" borderId="35" xfId="3" applyNumberFormat="1" applyFont="1" applyBorder="1" applyAlignment="1">
      <alignment horizontal="center"/>
    </xf>
    <xf numFmtId="3" fontId="5" fillId="0" borderId="0" xfId="3" applyNumberFormat="1" applyFont="1" applyFill="1" applyBorder="1"/>
    <xf numFmtId="3" fontId="5" fillId="0" borderId="12" xfId="3" applyNumberFormat="1" applyFont="1" applyFill="1" applyBorder="1"/>
    <xf numFmtId="0" fontId="5" fillId="0" borderId="24" xfId="3" applyNumberFormat="1" applyFont="1" applyBorder="1" applyAlignment="1">
      <alignment horizontal="center"/>
    </xf>
    <xf numFmtId="3" fontId="6" fillId="0" borderId="25" xfId="3" applyNumberFormat="1" applyFont="1" applyFill="1" applyBorder="1"/>
    <xf numFmtId="42" fontId="6" fillId="0" borderId="25" xfId="6" applyFont="1" applyFill="1" applyBorder="1"/>
    <xf numFmtId="42" fontId="6" fillId="0" borderId="26" xfId="6" applyFont="1" applyFill="1" applyBorder="1"/>
    <xf numFmtId="0" fontId="5" fillId="0" borderId="27" xfId="3" applyNumberFormat="1" applyFont="1" applyBorder="1" applyAlignment="1">
      <alignment horizontal="center"/>
    </xf>
    <xf numFmtId="0" fontId="5" fillId="0" borderId="51" xfId="3" applyNumberFormat="1" applyFont="1" applyBorder="1" applyAlignment="1">
      <alignment horizontal="center"/>
    </xf>
    <xf numFmtId="0" fontId="5" fillId="0" borderId="52" xfId="3" applyNumberFormat="1" applyFont="1" applyBorder="1" applyAlignment="1">
      <alignment horizontal="center"/>
    </xf>
    <xf numFmtId="0" fontId="5" fillId="0" borderId="19" xfId="3" applyNumberFormat="1" applyFont="1" applyBorder="1" applyAlignment="1">
      <alignment horizontal="center"/>
    </xf>
    <xf numFmtId="0" fontId="5" fillId="0" borderId="21" xfId="3" applyNumberFormat="1" applyFont="1" applyBorder="1" applyAlignment="1">
      <alignment horizontal="center"/>
    </xf>
    <xf numFmtId="3" fontId="5" fillId="0" borderId="22" xfId="3" applyNumberFormat="1" applyFont="1" applyFill="1" applyBorder="1"/>
    <xf numFmtId="3" fontId="5" fillId="0" borderId="23" xfId="3" applyNumberFormat="1" applyFont="1" applyFill="1" applyBorder="1"/>
    <xf numFmtId="0" fontId="5" fillId="0" borderId="49" xfId="3" applyNumberFormat="1" applyFont="1" applyBorder="1" applyAlignment="1">
      <alignment horizontal="center"/>
    </xf>
    <xf numFmtId="3" fontId="6" fillId="0" borderId="35" xfId="3" applyNumberFormat="1" applyFont="1" applyFill="1" applyBorder="1"/>
    <xf numFmtId="42" fontId="6" fillId="0" borderId="35" xfId="6" applyFont="1" applyFill="1" applyBorder="1"/>
    <xf numFmtId="42" fontId="6" fillId="0" borderId="53" xfId="6" applyFont="1" applyFill="1" applyBorder="1"/>
    <xf numFmtId="17" fontId="21" fillId="0" borderId="0" xfId="25" applyNumberFormat="1" applyFont="1"/>
    <xf numFmtId="3" fontId="6" fillId="0" borderId="11" xfId="3" applyNumberFormat="1" applyFont="1" applyFill="1" applyBorder="1" applyAlignment="1">
      <alignment horizontal="right"/>
    </xf>
    <xf numFmtId="3" fontId="6" fillId="0" borderId="0" xfId="3" applyNumberFormat="1" applyFont="1" applyAlignment="1">
      <alignment horizontal="right"/>
    </xf>
    <xf numFmtId="3" fontId="6" fillId="0" borderId="25" xfId="3" applyNumberFormat="1" applyFont="1" applyBorder="1" applyAlignment="1">
      <alignment horizontal="right"/>
    </xf>
    <xf numFmtId="3" fontId="5" fillId="0" borderId="11" xfId="3" applyNumberFormat="1" applyFont="1" applyBorder="1" applyAlignment="1">
      <alignment horizontal="right"/>
    </xf>
    <xf numFmtId="3" fontId="6" fillId="0" borderId="11" xfId="3" applyNumberFormat="1" applyFont="1" applyBorder="1" applyAlignment="1">
      <alignment horizontal="right"/>
    </xf>
    <xf numFmtId="3" fontId="5" fillId="0" borderId="16" xfId="3" applyNumberFormat="1" applyFont="1" applyFill="1" applyBorder="1" applyAlignment="1">
      <alignment horizontal="right"/>
    </xf>
    <xf numFmtId="3" fontId="5" fillId="0" borderId="25" xfId="3" applyNumberFormat="1" applyFont="1" applyFill="1" applyBorder="1" applyAlignment="1">
      <alignment horizontal="right"/>
    </xf>
    <xf numFmtId="3" fontId="6" fillId="0" borderId="16" xfId="3" applyNumberFormat="1" applyFont="1" applyFill="1" applyBorder="1" applyAlignment="1">
      <alignment horizontal="right"/>
    </xf>
    <xf numFmtId="3" fontId="6" fillId="0" borderId="25" xfId="3" applyNumberFormat="1" applyFont="1" applyFill="1" applyBorder="1" applyAlignment="1">
      <alignment horizontal="right"/>
    </xf>
    <xf numFmtId="3" fontId="5" fillId="0" borderId="22" xfId="3" applyNumberFormat="1" applyFont="1" applyFill="1" applyBorder="1" applyAlignment="1">
      <alignment horizontal="right"/>
    </xf>
    <xf numFmtId="3" fontId="6" fillId="0" borderId="35" xfId="3" applyNumberFormat="1" applyFont="1" applyFill="1" applyBorder="1" applyAlignment="1">
      <alignment horizontal="right"/>
    </xf>
    <xf numFmtId="3" fontId="5" fillId="0" borderId="15" xfId="3" applyNumberFormat="1" applyFont="1" applyBorder="1" applyAlignment="1">
      <alignment horizontal="right"/>
    </xf>
    <xf numFmtId="0" fontId="10" fillId="0" borderId="0" xfId="152"/>
    <xf numFmtId="0" fontId="52" fillId="27" borderId="17" xfId="5" applyFont="1" applyFill="1" applyBorder="1" applyAlignment="1">
      <alignment vertical="center"/>
    </xf>
    <xf numFmtId="14" fontId="52" fillId="27" borderId="54" xfId="5" applyNumberFormat="1" applyFont="1" applyFill="1" applyBorder="1" applyAlignment="1">
      <alignment horizontal="center" vertical="center"/>
    </xf>
    <xf numFmtId="0" fontId="52" fillId="27" borderId="28" xfId="5" applyFont="1" applyFill="1" applyBorder="1" applyAlignment="1">
      <alignment horizontal="center" vertical="center"/>
    </xf>
    <xf numFmtId="0" fontId="13" fillId="28" borderId="56" xfId="152" applyFont="1" applyFill="1" applyBorder="1" applyAlignment="1">
      <alignment vertical="center"/>
    </xf>
    <xf numFmtId="0" fontId="14" fillId="28" borderId="36" xfId="152" applyFont="1" applyFill="1" applyBorder="1" applyAlignment="1">
      <alignment horizontal="center" vertical="center"/>
    </xf>
    <xf numFmtId="0" fontId="13" fillId="28" borderId="10" xfId="152" applyFont="1" applyFill="1" applyBorder="1" applyAlignment="1">
      <alignment horizontal="left" vertical="center" indent="1"/>
    </xf>
    <xf numFmtId="0" fontId="14" fillId="28" borderId="12" xfId="152" applyFont="1" applyFill="1" applyBorder="1" applyAlignment="1">
      <alignment horizontal="center" vertical="center"/>
    </xf>
    <xf numFmtId="0" fontId="13" fillId="28" borderId="10" xfId="152" applyFont="1" applyFill="1" applyBorder="1" applyAlignment="1" applyProtection="1">
      <alignment horizontal="left" vertical="center" wrapText="1" indent="2"/>
    </xf>
    <xf numFmtId="0" fontId="14" fillId="28" borderId="10" xfId="152" applyFont="1" applyFill="1" applyBorder="1" applyAlignment="1">
      <alignment horizontal="left" vertical="center" indent="4"/>
    </xf>
    <xf numFmtId="3" fontId="14" fillId="0" borderId="20" xfId="152" applyNumberFormat="1" applyFont="1" applyFill="1" applyBorder="1" applyAlignment="1" applyProtection="1">
      <alignment horizontal="center" vertical="center"/>
      <protection locked="0"/>
    </xf>
    <xf numFmtId="3" fontId="10" fillId="0" borderId="0" xfId="152" applyNumberFormat="1"/>
    <xf numFmtId="0" fontId="13" fillId="28" borderId="10" xfId="152" applyFont="1" applyFill="1" applyBorder="1" applyAlignment="1" applyProtection="1">
      <alignment horizontal="left" vertical="center" wrapText="1" indent="3"/>
    </xf>
    <xf numFmtId="3" fontId="13" fillId="28" borderId="20" xfId="152" applyNumberFormat="1" applyFont="1" applyFill="1" applyBorder="1" applyAlignment="1">
      <alignment horizontal="center" vertical="center"/>
    </xf>
    <xf numFmtId="0" fontId="14" fillId="28" borderId="10" xfId="152" applyFont="1" applyFill="1" applyBorder="1" applyAlignment="1" applyProtection="1">
      <alignment horizontal="left" vertical="center" wrapText="1" indent="3"/>
    </xf>
    <xf numFmtId="0" fontId="53" fillId="28" borderId="10" xfId="152" applyFont="1" applyFill="1" applyBorder="1" applyAlignment="1" applyProtection="1">
      <alignment horizontal="left" vertical="center" wrapText="1" indent="2"/>
    </xf>
    <xf numFmtId="3" fontId="53" fillId="28" borderId="20" xfId="152" applyNumberFormat="1" applyFont="1" applyFill="1" applyBorder="1" applyAlignment="1">
      <alignment horizontal="center" vertical="center"/>
    </xf>
    <xf numFmtId="3" fontId="53" fillId="28" borderId="12" xfId="152" applyNumberFormat="1" applyFont="1" applyFill="1" applyBorder="1" applyAlignment="1">
      <alignment horizontal="center" vertical="center"/>
    </xf>
    <xf numFmtId="0" fontId="13" fillId="28" borderId="10" xfId="152" applyFont="1" applyFill="1" applyBorder="1" applyAlignment="1" applyProtection="1">
      <alignment horizontal="left" vertical="center" wrapText="1" indent="1"/>
    </xf>
    <xf numFmtId="0" fontId="53" fillId="28" borderId="14" xfId="152" applyFont="1" applyFill="1" applyBorder="1" applyAlignment="1" applyProtection="1">
      <alignment horizontal="left" vertical="center" wrapText="1" indent="2"/>
    </xf>
    <xf numFmtId="3" fontId="53" fillId="28" borderId="23" xfId="152" applyNumberFormat="1" applyFont="1" applyFill="1" applyBorder="1" applyAlignment="1">
      <alignment horizontal="center" vertical="center"/>
    </xf>
    <xf numFmtId="0" fontId="14" fillId="0" borderId="0" xfId="152" applyFont="1" applyBorder="1" applyAlignment="1">
      <alignment vertical="center"/>
    </xf>
    <xf numFmtId="0" fontId="9" fillId="3" borderId="0" xfId="153" applyFont="1" applyFill="1" applyAlignment="1">
      <alignment horizontal="center"/>
    </xf>
    <xf numFmtId="0" fontId="52" fillId="27" borderId="17" xfId="5" applyFont="1" applyFill="1" applyBorder="1" applyAlignment="1">
      <alignment vertical="center" wrapText="1"/>
    </xf>
    <xf numFmtId="0" fontId="52" fillId="27" borderId="18" xfId="5" applyFont="1" applyFill="1" applyBorder="1" applyAlignment="1">
      <alignment vertical="center"/>
    </xf>
    <xf numFmtId="0" fontId="52" fillId="27" borderId="57" xfId="5" applyFont="1" applyFill="1" applyBorder="1" applyAlignment="1">
      <alignment horizontal="center" vertical="center"/>
    </xf>
    <xf numFmtId="0" fontId="52" fillId="27" borderId="10" xfId="5" applyFont="1" applyFill="1" applyBorder="1" applyAlignment="1">
      <alignment vertical="center" wrapText="1"/>
    </xf>
    <xf numFmtId="14" fontId="52" fillId="27" borderId="53" xfId="5" applyNumberFormat="1" applyFont="1" applyFill="1" applyBorder="1" applyAlignment="1">
      <alignment horizontal="center" vertical="center"/>
    </xf>
    <xf numFmtId="0" fontId="52" fillId="27" borderId="55" xfId="5" applyFont="1" applyFill="1" applyBorder="1" applyAlignment="1">
      <alignment vertical="center" wrapText="1"/>
    </xf>
    <xf numFmtId="0" fontId="52" fillId="27" borderId="2" xfId="5" applyFont="1" applyFill="1" applyBorder="1" applyAlignment="1">
      <alignment vertical="center"/>
    </xf>
    <xf numFmtId="14" fontId="52" fillId="27" borderId="28" xfId="5" applyNumberFormat="1" applyFont="1" applyFill="1" applyBorder="1" applyAlignment="1">
      <alignment horizontal="center" vertical="center"/>
    </xf>
    <xf numFmtId="0" fontId="13" fillId="28" borderId="10" xfId="152" applyFont="1" applyFill="1" applyBorder="1" applyAlignment="1" applyProtection="1">
      <alignment horizontal="left" vertical="center" wrapText="1"/>
    </xf>
    <xf numFmtId="0" fontId="13" fillId="28" borderId="0" xfId="152" applyFont="1" applyFill="1" applyBorder="1" applyAlignment="1" applyProtection="1">
      <alignment horizontal="left" vertical="center" wrapText="1"/>
    </xf>
    <xf numFmtId="0" fontId="14" fillId="28" borderId="12" xfId="152" applyFont="1" applyFill="1" applyBorder="1" applyAlignment="1" applyProtection="1">
      <alignment horizontal="right" vertical="center" indent="1"/>
    </xf>
    <xf numFmtId="0" fontId="13" fillId="28" borderId="0" xfId="152" applyFont="1" applyFill="1" applyBorder="1" applyAlignment="1" applyProtection="1">
      <alignment horizontal="left" vertical="center" wrapText="1" indent="1"/>
    </xf>
    <xf numFmtId="0" fontId="14" fillId="28" borderId="10" xfId="152" applyFont="1" applyFill="1" applyBorder="1" applyAlignment="1" applyProtection="1">
      <alignment horizontal="left" vertical="center" wrapText="1"/>
    </xf>
    <xf numFmtId="0" fontId="14" fillId="28" borderId="0" xfId="152" applyFont="1" applyFill="1" applyBorder="1" applyAlignment="1" applyProtection="1">
      <alignment horizontal="left" vertical="center" wrapText="1" indent="2"/>
    </xf>
    <xf numFmtId="3" fontId="14" fillId="0" borderId="20" xfId="152" applyNumberFormat="1" applyFont="1" applyFill="1" applyBorder="1" applyAlignment="1" applyProtection="1">
      <alignment vertical="center"/>
      <protection locked="0"/>
    </xf>
    <xf numFmtId="0" fontId="14" fillId="0" borderId="0" xfId="152" applyFont="1" applyFill="1" applyBorder="1" applyAlignment="1" applyProtection="1">
      <alignment vertical="center"/>
      <protection locked="0"/>
    </xf>
    <xf numFmtId="0" fontId="13" fillId="28" borderId="0" xfId="152" applyFont="1" applyFill="1" applyBorder="1" applyAlignment="1" applyProtection="1">
      <alignment horizontal="left" vertical="center" wrapText="1" indent="2"/>
    </xf>
    <xf numFmtId="3" fontId="13" fillId="28" borderId="20" xfId="152" applyNumberFormat="1" applyFont="1" applyFill="1" applyBorder="1" applyAlignment="1">
      <alignment vertical="center"/>
    </xf>
    <xf numFmtId="0" fontId="53" fillId="28" borderId="0" xfId="152" applyFont="1" applyFill="1" applyBorder="1" applyAlignment="1" applyProtection="1">
      <alignment horizontal="left" vertical="center" wrapText="1" indent="2"/>
    </xf>
    <xf numFmtId="3" fontId="53" fillId="28" borderId="20" xfId="152" applyNumberFormat="1" applyFont="1" applyFill="1" applyBorder="1" applyAlignment="1">
      <alignment vertical="center"/>
    </xf>
    <xf numFmtId="0" fontId="14" fillId="28" borderId="14" xfId="152" applyFont="1" applyFill="1" applyBorder="1" applyAlignment="1" applyProtection="1">
      <alignment horizontal="left" vertical="center" wrapText="1"/>
    </xf>
    <xf numFmtId="0" fontId="53" fillId="28" borderId="15" xfId="152" applyFont="1" applyFill="1" applyBorder="1" applyAlignment="1" applyProtection="1">
      <alignment horizontal="left" vertical="center" wrapText="1" indent="2"/>
    </xf>
    <xf numFmtId="3" fontId="53" fillId="28" borderId="23" xfId="152" applyNumberFormat="1" applyFont="1" applyFill="1" applyBorder="1" applyAlignment="1">
      <alignment vertical="center"/>
    </xf>
    <xf numFmtId="0" fontId="1" fillId="0" borderId="0" xfId="4"/>
    <xf numFmtId="165" fontId="1" fillId="0" borderId="0" xfId="210" applyNumberFormat="1" applyFont="1"/>
    <xf numFmtId="165" fontId="1" fillId="0" borderId="0" xfId="4" applyNumberFormat="1"/>
    <xf numFmtId="0" fontId="15" fillId="0" borderId="0" xfId="4" applyFont="1"/>
    <xf numFmtId="165" fontId="57" fillId="0" borderId="6" xfId="1" applyNumberFormat="1" applyFont="1" applyFill="1" applyBorder="1"/>
    <xf numFmtId="165" fontId="57" fillId="0" borderId="0" xfId="1" applyNumberFormat="1" applyFont="1" applyFill="1"/>
    <xf numFmtId="3" fontId="5" fillId="0" borderId="22" xfId="3" applyNumberFormat="1" applyFont="1" applyFill="1" applyBorder="1"/>
    <xf numFmtId="3" fontId="5" fillId="0" borderId="23" xfId="3" applyNumberFormat="1" applyFont="1" applyFill="1" applyBorder="1"/>
    <xf numFmtId="0" fontId="52" fillId="27" borderId="17" xfId="5" applyFont="1" applyFill="1" applyBorder="1" applyAlignment="1">
      <alignment horizontal="left" vertical="center"/>
    </xf>
    <xf numFmtId="0" fontId="52" fillId="27" borderId="55" xfId="5" applyFont="1" applyFill="1" applyBorder="1" applyAlignment="1">
      <alignment horizontal="left" vertical="center"/>
    </xf>
    <xf numFmtId="17" fontId="21" fillId="29" borderId="0" xfId="25" applyNumberFormat="1" applyFont="1" applyFill="1"/>
    <xf numFmtId="0" fontId="21" fillId="29" borderId="0" xfId="25" applyFill="1"/>
    <xf numFmtId="3" fontId="21" fillId="29" borderId="0" xfId="25" applyNumberFormat="1" applyFill="1"/>
    <xf numFmtId="3" fontId="21" fillId="29" borderId="0" xfId="26" applyNumberFormat="1" applyFont="1" applyFill="1"/>
    <xf numFmtId="0" fontId="0" fillId="0" borderId="0" xfId="0" applyFont="1" applyBorder="1"/>
    <xf numFmtId="0" fontId="0" fillId="0" borderId="0" xfId="0" applyFont="1"/>
    <xf numFmtId="0" fontId="0" fillId="3" borderId="10" xfId="0" applyFont="1" applyFill="1" applyBorder="1"/>
    <xf numFmtId="179" fontId="59" fillId="0" borderId="25" xfId="0" applyNumberFormat="1" applyFont="1" applyFill="1" applyBorder="1" applyAlignment="1">
      <alignment horizontal="center" vertical="center"/>
    </xf>
    <xf numFmtId="179" fontId="59" fillId="0" borderId="11" xfId="0" applyNumberFormat="1" applyFont="1" applyFill="1" applyBorder="1" applyAlignment="1">
      <alignment horizontal="center" vertical="center"/>
    </xf>
    <xf numFmtId="179" fontId="59" fillId="0" borderId="16" xfId="0" applyNumberFormat="1" applyFont="1" applyFill="1" applyBorder="1" applyAlignment="1">
      <alignment horizontal="center" vertical="center"/>
    </xf>
    <xf numFmtId="179" fontId="59" fillId="4" borderId="65" xfId="0" applyNumberFormat="1" applyFont="1" applyFill="1" applyBorder="1" applyAlignment="1">
      <alignment horizontal="center" vertical="center"/>
    </xf>
    <xf numFmtId="3" fontId="0" fillId="0" borderId="0" xfId="0" applyNumberFormat="1" applyFont="1"/>
    <xf numFmtId="0" fontId="0" fillId="3" borderId="0" xfId="0" applyFont="1" applyFill="1" applyBorder="1"/>
    <xf numFmtId="3" fontId="0" fillId="0" borderId="0" xfId="0" applyNumberFormat="1" applyFill="1"/>
    <xf numFmtId="3" fontId="0" fillId="0" borderId="11" xfId="0" applyNumberFormat="1" applyBorder="1"/>
    <xf numFmtId="179" fontId="64" fillId="0" borderId="0" xfId="0" applyNumberFormat="1" applyFont="1"/>
    <xf numFmtId="179" fontId="61" fillId="0" borderId="26" xfId="0" applyNumberFormat="1" applyFont="1" applyFill="1" applyBorder="1" applyAlignment="1">
      <alignment horizontal="center" vertical="center"/>
    </xf>
    <xf numFmtId="49" fontId="61" fillId="0" borderId="20" xfId="0" applyNumberFormat="1" applyFont="1" applyFill="1" applyBorder="1" applyAlignment="1">
      <alignment horizontal="center" vertical="center"/>
    </xf>
    <xf numFmtId="179" fontId="61" fillId="0" borderId="20" xfId="0" applyNumberFormat="1" applyFont="1" applyFill="1" applyBorder="1" applyAlignment="1">
      <alignment horizontal="center" vertical="center"/>
    </xf>
    <xf numFmtId="179" fontId="59" fillId="0" borderId="50" xfId="0" applyNumberFormat="1" applyFont="1" applyFill="1" applyBorder="1" applyAlignment="1">
      <alignment horizontal="center" vertical="center"/>
    </xf>
    <xf numFmtId="49" fontId="61" fillId="0" borderId="76" xfId="0" applyNumberFormat="1" applyFont="1" applyFill="1" applyBorder="1" applyAlignment="1">
      <alignment horizontal="center" vertical="center"/>
    </xf>
    <xf numFmtId="179" fontId="61" fillId="4" borderId="30" xfId="0" applyNumberFormat="1" applyFont="1" applyFill="1" applyBorder="1" applyAlignment="1">
      <alignment horizontal="center" vertical="center"/>
    </xf>
    <xf numFmtId="0" fontId="67" fillId="3" borderId="10" xfId="0" applyFont="1" applyFill="1" applyBorder="1"/>
    <xf numFmtId="0" fontId="67" fillId="3" borderId="0" xfId="0" applyFont="1" applyFill="1" applyBorder="1"/>
    <xf numFmtId="0" fontId="68" fillId="3" borderId="10" xfId="0" applyFont="1" applyFill="1" applyBorder="1"/>
    <xf numFmtId="0" fontId="68" fillId="3" borderId="0" xfId="0" applyFont="1" applyFill="1" applyBorder="1"/>
    <xf numFmtId="0" fontId="62" fillId="3" borderId="72" xfId="0" applyFont="1" applyFill="1" applyBorder="1" applyAlignment="1">
      <alignment horizontal="center"/>
    </xf>
    <xf numFmtId="0" fontId="62" fillId="32" borderId="35" xfId="0" applyFont="1" applyFill="1" applyBorder="1" applyAlignment="1">
      <alignment horizontal="center"/>
    </xf>
    <xf numFmtId="3" fontId="11" fillId="3" borderId="38" xfId="0" applyNumberFormat="1" applyFont="1" applyFill="1" applyBorder="1" applyAlignment="1">
      <alignment horizontal="center"/>
    </xf>
    <xf numFmtId="3" fontId="69" fillId="5" borderId="72" xfId="0" applyNumberFormat="1" applyFont="1" applyFill="1" applyBorder="1" applyAlignment="1">
      <alignment horizontal="center"/>
    </xf>
    <xf numFmtId="3" fontId="69" fillId="32" borderId="50" xfId="0" applyNumberFormat="1" applyFont="1" applyFill="1" applyBorder="1" applyAlignment="1">
      <alignment horizontal="center"/>
    </xf>
    <xf numFmtId="3" fontId="69" fillId="5" borderId="38" xfId="0" applyNumberFormat="1" applyFont="1" applyFill="1" applyBorder="1" applyAlignment="1">
      <alignment horizontal="center"/>
    </xf>
    <xf numFmtId="0" fontId="62" fillId="32" borderId="50" xfId="0" applyFont="1" applyFill="1" applyBorder="1" applyAlignment="1">
      <alignment horizontal="center"/>
    </xf>
    <xf numFmtId="9" fontId="62" fillId="3" borderId="56" xfId="211" applyFont="1" applyFill="1" applyBorder="1" applyAlignment="1">
      <alignment horizontal="center"/>
    </xf>
    <xf numFmtId="9" fontId="62" fillId="32" borderId="16" xfId="211" applyFont="1" applyFill="1" applyBorder="1" applyAlignment="1">
      <alignment horizontal="center"/>
    </xf>
    <xf numFmtId="3" fontId="11" fillId="3" borderId="60" xfId="0" applyNumberFormat="1" applyFont="1" applyFill="1" applyBorder="1" applyAlignment="1">
      <alignment horizontal="center"/>
    </xf>
    <xf numFmtId="42" fontId="5" fillId="0" borderId="51" xfId="6" applyFont="1" applyBorder="1"/>
    <xf numFmtId="42" fontId="5" fillId="0" borderId="74" xfId="6" applyFont="1" applyBorder="1"/>
    <xf numFmtId="0" fontId="0" fillId="0" borderId="25" xfId="0" applyBorder="1"/>
    <xf numFmtId="42" fontId="0" fillId="0" borderId="25" xfId="0" applyNumberFormat="1" applyBorder="1"/>
    <xf numFmtId="0" fontId="0" fillId="0" borderId="26" xfId="0" applyBorder="1"/>
    <xf numFmtId="3" fontId="6" fillId="0" borderId="19" xfId="3" applyNumberFormat="1" applyFont="1" applyBorder="1"/>
    <xf numFmtId="42" fontId="0" fillId="0" borderId="20" xfId="0" applyNumberFormat="1" applyBorder="1"/>
    <xf numFmtId="3" fontId="6" fillId="0" borderId="21" xfId="3" applyNumberFormat="1" applyFont="1" applyBorder="1"/>
    <xf numFmtId="0" fontId="0" fillId="0" borderId="22" xfId="0" applyBorder="1"/>
    <xf numFmtId="3" fontId="0" fillId="0" borderId="23" xfId="0" applyNumberFormat="1" applyBorder="1"/>
    <xf numFmtId="3" fontId="5" fillId="0" borderId="77" xfId="3" applyNumberFormat="1" applyFont="1" applyFill="1" applyBorder="1"/>
    <xf numFmtId="0" fontId="52" fillId="27" borderId="0" xfId="5" applyFont="1" applyFill="1" applyBorder="1" applyAlignment="1">
      <alignment vertical="center"/>
    </xf>
    <xf numFmtId="0" fontId="70" fillId="0" borderId="0" xfId="220">
      <alignment vertical="center"/>
    </xf>
    <xf numFmtId="0" fontId="14" fillId="28" borderId="34" xfId="220" applyFont="1" applyFill="1" applyBorder="1">
      <alignment vertical="center"/>
    </xf>
    <xf numFmtId="0" fontId="14" fillId="28" borderId="1" xfId="220" applyFont="1" applyFill="1" applyBorder="1">
      <alignment vertical="center"/>
    </xf>
    <xf numFmtId="0" fontId="14" fillId="28" borderId="60" xfId="220" applyFont="1" applyFill="1" applyBorder="1">
      <alignment vertical="center"/>
    </xf>
    <xf numFmtId="0" fontId="14" fillId="28" borderId="11" xfId="220" applyFont="1" applyFill="1" applyBorder="1" applyAlignment="1">
      <alignment horizontal="center" wrapText="1"/>
    </xf>
    <xf numFmtId="0" fontId="14" fillId="28" borderId="61" xfId="220" applyFont="1" applyFill="1" applyBorder="1" applyAlignment="1">
      <alignment horizontal="center" wrapText="1"/>
    </xf>
    <xf numFmtId="0" fontId="14" fillId="0" borderId="11" xfId="220" applyFont="1" applyFill="1" applyBorder="1" applyProtection="1">
      <alignment vertical="center"/>
      <protection locked="0"/>
    </xf>
    <xf numFmtId="0" fontId="14" fillId="28" borderId="77" xfId="220" applyFont="1" applyFill="1" applyBorder="1" applyAlignment="1">
      <alignment horizontal="left" indent="1"/>
    </xf>
    <xf numFmtId="0" fontId="14" fillId="28" borderId="50" xfId="220" applyFont="1" applyFill="1" applyBorder="1" applyAlignment="1">
      <alignment horizontal="left" indent="2"/>
    </xf>
    <xf numFmtId="0" fontId="14" fillId="28" borderId="50" xfId="220" applyFont="1" applyFill="1" applyBorder="1">
      <alignment vertical="center"/>
    </xf>
    <xf numFmtId="42" fontId="14" fillId="0" borderId="11" xfId="220" applyNumberFormat="1" applyFont="1" applyFill="1" applyBorder="1" applyProtection="1">
      <alignment vertical="center"/>
      <protection locked="0"/>
    </xf>
    <xf numFmtId="0" fontId="14" fillId="0" borderId="35" xfId="220" applyFont="1" applyFill="1" applyBorder="1" applyProtection="1">
      <alignment vertical="center"/>
      <protection locked="0"/>
    </xf>
    <xf numFmtId="42" fontId="13" fillId="0" borderId="29" xfId="220" applyNumberFormat="1" applyFont="1" applyFill="1" applyBorder="1" applyProtection="1">
      <alignment vertical="center"/>
      <protection locked="0"/>
    </xf>
    <xf numFmtId="0" fontId="13" fillId="0" borderId="65" xfId="220" applyFont="1" applyFill="1" applyBorder="1" applyProtection="1">
      <alignment vertical="center"/>
      <protection locked="0"/>
    </xf>
    <xf numFmtId="42" fontId="13" fillId="0" borderId="65" xfId="220" applyNumberFormat="1" applyFont="1" applyFill="1" applyBorder="1" applyProtection="1">
      <alignment vertical="center"/>
      <protection locked="0"/>
    </xf>
    <xf numFmtId="42" fontId="13" fillId="0" borderId="30" xfId="220" applyNumberFormat="1" applyFont="1" applyFill="1" applyBorder="1" applyProtection="1">
      <alignment vertical="center"/>
      <protection locked="0"/>
    </xf>
    <xf numFmtId="42" fontId="14" fillId="0" borderId="35" xfId="220" applyNumberFormat="1" applyFont="1" applyFill="1" applyBorder="1" applyProtection="1">
      <alignment vertical="center"/>
      <protection locked="0"/>
    </xf>
    <xf numFmtId="0" fontId="14" fillId="0" borderId="61" xfId="220" applyFont="1" applyFill="1" applyBorder="1" applyProtection="1">
      <alignment vertical="center"/>
      <protection locked="0"/>
    </xf>
    <xf numFmtId="0" fontId="14" fillId="0" borderId="34" xfId="220" applyFont="1" applyFill="1" applyBorder="1" applyProtection="1">
      <alignment vertical="center"/>
      <protection locked="0"/>
    </xf>
    <xf numFmtId="42" fontId="13" fillId="0" borderId="33" xfId="220" applyNumberFormat="1" applyFont="1" applyFill="1" applyBorder="1" applyProtection="1">
      <alignment vertical="center"/>
      <protection locked="0"/>
    </xf>
    <xf numFmtId="42" fontId="14" fillId="0" borderId="61" xfId="220" applyNumberFormat="1" applyFont="1" applyFill="1" applyBorder="1" applyProtection="1">
      <alignment vertical="center"/>
      <protection locked="0"/>
    </xf>
    <xf numFmtId="42" fontId="13" fillId="0" borderId="3" xfId="220" applyNumberFormat="1" applyFont="1" applyFill="1" applyBorder="1" applyProtection="1">
      <alignment vertical="center"/>
      <protection locked="0"/>
    </xf>
    <xf numFmtId="42" fontId="14" fillId="0" borderId="34" xfId="220" applyNumberFormat="1" applyFont="1" applyFill="1" applyBorder="1" applyProtection="1">
      <alignment vertical="center"/>
      <protection locked="0"/>
    </xf>
    <xf numFmtId="0" fontId="14" fillId="28" borderId="38" xfId="220" applyFont="1" applyFill="1" applyBorder="1" applyAlignment="1">
      <alignment horizontal="center" wrapText="1"/>
    </xf>
    <xf numFmtId="42" fontId="14" fillId="0" borderId="38" xfId="220" applyNumberFormat="1" applyFont="1" applyFill="1" applyBorder="1" applyProtection="1">
      <alignment vertical="center"/>
      <protection locked="0"/>
    </xf>
    <xf numFmtId="0" fontId="14" fillId="0" borderId="38" xfId="220" applyFont="1" applyFill="1" applyBorder="1" applyProtection="1">
      <alignment vertical="center"/>
      <protection locked="0"/>
    </xf>
    <xf numFmtId="0" fontId="14" fillId="0" borderId="60" xfId="220" applyFont="1" applyFill="1" applyBorder="1" applyProtection="1">
      <alignment vertical="center"/>
      <protection locked="0"/>
    </xf>
    <xf numFmtId="42" fontId="13" fillId="0" borderId="69" xfId="220" applyNumberFormat="1" applyFont="1" applyFill="1" applyBorder="1" applyProtection="1">
      <alignment vertical="center"/>
      <protection locked="0"/>
    </xf>
    <xf numFmtId="42" fontId="14" fillId="0" borderId="60" xfId="220" applyNumberFormat="1" applyFont="1" applyFill="1" applyBorder="1" applyProtection="1">
      <alignment vertical="center"/>
      <protection locked="0"/>
    </xf>
    <xf numFmtId="0" fontId="70" fillId="28" borderId="75" xfId="220" applyFill="1" applyBorder="1">
      <alignment vertical="center"/>
    </xf>
    <xf numFmtId="0" fontId="70" fillId="28" borderId="70" xfId="220" applyFill="1" applyBorder="1">
      <alignment vertical="center"/>
    </xf>
    <xf numFmtId="0" fontId="14" fillId="28" borderId="19" xfId="220" applyFont="1" applyFill="1" applyBorder="1" applyAlignment="1">
      <alignment horizontal="center" wrapText="1"/>
    </xf>
    <xf numFmtId="0" fontId="14" fillId="0" borderId="19" xfId="220" applyFont="1" applyFill="1" applyBorder="1" applyProtection="1">
      <alignment vertical="center"/>
      <protection locked="0"/>
    </xf>
    <xf numFmtId="0" fontId="14" fillId="0" borderId="49" xfId="220" applyFont="1" applyFill="1" applyBorder="1" applyProtection="1">
      <alignment vertical="center"/>
      <protection locked="0"/>
    </xf>
    <xf numFmtId="42" fontId="14" fillId="0" borderId="19" xfId="220" applyNumberFormat="1" applyFont="1" applyFill="1" applyBorder="1" applyProtection="1">
      <alignment vertical="center"/>
      <protection locked="0"/>
    </xf>
    <xf numFmtId="42" fontId="13" fillId="0" borderId="8" xfId="220" applyNumberFormat="1" applyFont="1" applyFill="1" applyBorder="1" applyProtection="1">
      <alignment vertical="center"/>
      <protection locked="0"/>
    </xf>
    <xf numFmtId="42" fontId="14" fillId="0" borderId="49" xfId="220" applyNumberFormat="1" applyFont="1" applyFill="1" applyBorder="1" applyProtection="1">
      <alignment vertical="center"/>
      <protection locked="0"/>
    </xf>
    <xf numFmtId="0" fontId="70" fillId="28" borderId="66" xfId="220" applyFill="1" applyBorder="1">
      <alignment vertical="center"/>
    </xf>
    <xf numFmtId="0" fontId="14" fillId="28" borderId="63" xfId="220" applyFont="1" applyFill="1" applyBorder="1" applyAlignment="1">
      <alignment horizontal="center" wrapText="1"/>
    </xf>
    <xf numFmtId="42" fontId="14" fillId="0" borderId="59" xfId="220" applyNumberFormat="1" applyFont="1" applyFill="1" applyBorder="1" applyProtection="1">
      <alignment vertical="center"/>
      <protection locked="0"/>
    </xf>
    <xf numFmtId="0" fontId="14" fillId="0" borderId="59" xfId="220" applyFont="1" applyFill="1" applyBorder="1">
      <alignment vertical="center"/>
    </xf>
    <xf numFmtId="0" fontId="14" fillId="0" borderId="64" xfId="220" applyFont="1" applyFill="1" applyBorder="1">
      <alignment vertical="center"/>
    </xf>
    <xf numFmtId="42" fontId="14" fillId="0" borderId="64" xfId="220" applyNumberFormat="1" applyFont="1" applyFill="1" applyBorder="1" applyProtection="1">
      <alignment vertical="center"/>
      <protection locked="0"/>
    </xf>
    <xf numFmtId="42" fontId="0" fillId="0" borderId="0" xfId="0" applyNumberFormat="1" applyFill="1"/>
    <xf numFmtId="3" fontId="5" fillId="0" borderId="35" xfId="3" applyNumberFormat="1" applyFont="1" applyFill="1" applyBorder="1"/>
    <xf numFmtId="3" fontId="5" fillId="0" borderId="22" xfId="3" applyNumberFormat="1" applyFont="1" applyFill="1" applyBorder="1"/>
    <xf numFmtId="3" fontId="5" fillId="0" borderId="23" xfId="3" applyNumberFormat="1" applyFont="1" applyFill="1" applyBorder="1"/>
    <xf numFmtId="0" fontId="11" fillId="5" borderId="0" xfId="20" applyFont="1" applyFill="1" applyBorder="1" applyAlignment="1">
      <alignment horizontal="center" vertical="center" wrapText="1"/>
    </xf>
    <xf numFmtId="179" fontId="60" fillId="0" borderId="72" xfId="0" applyNumberFormat="1" applyFont="1" applyFill="1" applyBorder="1" applyAlignment="1">
      <alignment horizontal="left" vertical="center" wrapText="1"/>
    </xf>
    <xf numFmtId="179" fontId="60" fillId="0" borderId="73" xfId="0" applyNumberFormat="1" applyFont="1" applyFill="1" applyBorder="1" applyAlignment="1">
      <alignment horizontal="left" vertical="center" wrapText="1"/>
    </xf>
    <xf numFmtId="179" fontId="59" fillId="4" borderId="3" xfId="0" applyNumberFormat="1" applyFont="1" applyFill="1" applyBorder="1" applyAlignment="1">
      <alignment horizontal="left" vertical="center" wrapText="1"/>
    </xf>
    <xf numFmtId="179" fontId="59" fillId="4" borderId="4" xfId="0" applyNumberFormat="1" applyFont="1" applyFill="1" applyBorder="1" applyAlignment="1">
      <alignment horizontal="left" vertical="center" wrapText="1"/>
    </xf>
    <xf numFmtId="3" fontId="5" fillId="0" borderId="34" xfId="3" applyNumberFormat="1" applyFont="1" applyFill="1" applyBorder="1"/>
    <xf numFmtId="3" fontId="5" fillId="0" borderId="1" xfId="3" applyNumberFormat="1" applyFont="1" applyFill="1" applyBorder="1"/>
    <xf numFmtId="3" fontId="5" fillId="0" borderId="36" xfId="3" applyNumberFormat="1" applyFont="1" applyFill="1" applyBorder="1"/>
    <xf numFmtId="3" fontId="5" fillId="0" borderId="32" xfId="3" applyNumberFormat="1" applyFont="1" applyFill="1" applyBorder="1"/>
    <xf numFmtId="3" fontId="5" fillId="0" borderId="37" xfId="3" applyNumberFormat="1" applyFont="1" applyFill="1" applyBorder="1"/>
    <xf numFmtId="3" fontId="5" fillId="0" borderId="31" xfId="3" applyNumberFormat="1" applyFont="1" applyFill="1" applyBorder="1"/>
    <xf numFmtId="3" fontId="5" fillId="0" borderId="22" xfId="3" applyNumberFormat="1" applyFont="1" applyFill="1" applyBorder="1"/>
    <xf numFmtId="3" fontId="5" fillId="0" borderId="23" xfId="3" applyNumberFormat="1" applyFont="1" applyFill="1" applyBorder="1"/>
    <xf numFmtId="3" fontId="8" fillId="0" borderId="0" xfId="3" applyNumberFormat="1" applyFont="1" applyAlignment="1">
      <alignment horizontal="center"/>
    </xf>
    <xf numFmtId="3" fontId="16" fillId="0" borderId="0" xfId="4" applyNumberFormat="1" applyFont="1" applyFill="1" applyAlignment="1">
      <alignment horizontal="center"/>
    </xf>
    <xf numFmtId="0" fontId="7" fillId="0" borderId="0" xfId="4" applyFont="1" applyFill="1" applyAlignment="1">
      <alignment horizontal="center"/>
    </xf>
    <xf numFmtId="3" fontId="7" fillId="0" borderId="0" xfId="4" applyNumberFormat="1" applyFont="1" applyFill="1" applyAlignment="1">
      <alignment horizontal="center"/>
    </xf>
    <xf numFmtId="0" fontId="13" fillId="28" borderId="11" xfId="220" applyFont="1" applyFill="1" applyBorder="1" applyAlignment="1">
      <alignment horizontal="left"/>
    </xf>
    <xf numFmtId="0" fontId="71" fillId="0" borderId="11" xfId="220" applyFont="1" applyBorder="1" applyAlignment="1">
      <alignment vertical="center"/>
    </xf>
    <xf numFmtId="0" fontId="14" fillId="28" borderId="11" xfId="220" applyFont="1" applyFill="1" applyBorder="1" applyAlignment="1">
      <alignment vertical="center"/>
    </xf>
    <xf numFmtId="0" fontId="70" fillId="0" borderId="11" xfId="220" applyBorder="1" applyAlignment="1">
      <alignment vertical="center"/>
    </xf>
    <xf numFmtId="0" fontId="14" fillId="28" borderId="35" xfId="220" applyFont="1" applyFill="1" applyBorder="1" applyAlignment="1">
      <alignment vertical="center"/>
    </xf>
    <xf numFmtId="0" fontId="70" fillId="0" borderId="35" xfId="220" applyBorder="1" applyAlignment="1">
      <alignment vertical="center"/>
    </xf>
    <xf numFmtId="0" fontId="14" fillId="28" borderId="11" xfId="220" applyFont="1" applyFill="1" applyBorder="1" applyAlignment="1"/>
    <xf numFmtId="0" fontId="70" fillId="0" borderId="11" xfId="220" applyBorder="1" applyAlignment="1"/>
    <xf numFmtId="0" fontId="14" fillId="28" borderId="11" xfId="220" applyFont="1" applyFill="1" applyBorder="1" applyAlignment="1">
      <alignment horizontal="left"/>
    </xf>
    <xf numFmtId="0" fontId="70" fillId="0" borderId="61" xfId="220" applyBorder="1" applyAlignment="1">
      <alignment vertical="center"/>
    </xf>
    <xf numFmtId="0" fontId="14" fillId="28" borderId="77" xfId="220" applyFont="1" applyFill="1" applyBorder="1" applyAlignment="1">
      <alignment vertical="center"/>
    </xf>
    <xf numFmtId="0" fontId="70" fillId="0" borderId="0" xfId="220" applyBorder="1" applyAlignment="1">
      <alignment vertical="center"/>
    </xf>
    <xf numFmtId="0" fontId="70" fillId="0" borderId="6" xfId="220" applyBorder="1" applyAlignment="1">
      <alignment vertical="center"/>
    </xf>
    <xf numFmtId="0" fontId="70" fillId="0" borderId="11" xfId="220" applyFont="1" applyBorder="1" applyAlignment="1">
      <alignment vertical="center"/>
    </xf>
    <xf numFmtId="0" fontId="70" fillId="0" borderId="61" xfId="220" applyFont="1" applyBorder="1" applyAlignment="1">
      <alignment vertical="center"/>
    </xf>
    <xf numFmtId="0" fontId="58" fillId="5" borderId="3" xfId="0" applyFont="1" applyFill="1" applyBorder="1" applyAlignment="1">
      <alignment horizontal="left" vertical="center"/>
    </xf>
    <xf numFmtId="0" fontId="58" fillId="5" borderId="4" xfId="0" applyFont="1" applyFill="1" applyBorder="1" applyAlignment="1">
      <alignment horizontal="left" vertical="center"/>
    </xf>
    <xf numFmtId="0" fontId="58" fillId="5" borderId="5" xfId="0" applyFont="1" applyFill="1" applyBorder="1" applyAlignment="1">
      <alignment horizontal="left" vertical="center"/>
    </xf>
    <xf numFmtId="0" fontId="17" fillId="3" borderId="10" xfId="0" applyFont="1" applyFill="1" applyBorder="1"/>
    <xf numFmtId="0" fontId="17" fillId="3" borderId="0" xfId="0" applyFont="1" applyFill="1" applyBorder="1"/>
    <xf numFmtId="0" fontId="0" fillId="3" borderId="12" xfId="0" applyFont="1" applyFill="1" applyBorder="1"/>
    <xf numFmtId="0" fontId="58" fillId="3" borderId="10" xfId="0" applyFont="1" applyFill="1" applyBorder="1"/>
    <xf numFmtId="0" fontId="58" fillId="3" borderId="0" xfId="0" applyFont="1" applyFill="1" applyBorder="1"/>
    <xf numFmtId="3" fontId="69" fillId="3" borderId="8" xfId="0" applyNumberFormat="1" applyFont="1" applyFill="1" applyBorder="1" applyAlignment="1">
      <alignment horizontal="center"/>
    </xf>
    <xf numFmtId="0" fontId="18" fillId="3" borderId="10" xfId="0" applyFont="1" applyFill="1" applyBorder="1"/>
    <xf numFmtId="0" fontId="18" fillId="3" borderId="0" xfId="0" applyFont="1" applyFill="1" applyBorder="1"/>
    <xf numFmtId="0" fontId="11" fillId="3" borderId="0" xfId="0" applyFont="1" applyFill="1" applyBorder="1" applyAlignment="1">
      <alignment horizontal="center"/>
    </xf>
    <xf numFmtId="0" fontId="0" fillId="3" borderId="58" xfId="0" applyFont="1" applyFill="1" applyBorder="1"/>
    <xf numFmtId="0" fontId="14" fillId="0" borderId="19" xfId="13" applyFont="1" applyFill="1" applyBorder="1" applyAlignment="1">
      <alignment horizontal="left" vertical="center"/>
    </xf>
    <xf numFmtId="3" fontId="69" fillId="5" borderId="58" xfId="0" applyNumberFormat="1" applyFont="1" applyFill="1" applyBorder="1" applyAlignment="1">
      <alignment horizontal="center"/>
    </xf>
    <xf numFmtId="3" fontId="69" fillId="3" borderId="12" xfId="0" applyNumberFormat="1" applyFont="1" applyFill="1" applyBorder="1" applyAlignment="1">
      <alignment horizontal="center"/>
    </xf>
    <xf numFmtId="0" fontId="0" fillId="3" borderId="59" xfId="0" applyFont="1" applyFill="1" applyBorder="1"/>
    <xf numFmtId="3" fontId="69" fillId="5" borderId="59" xfId="0" applyNumberFormat="1" applyFont="1" applyFill="1" applyBorder="1" applyAlignment="1">
      <alignment horizontal="center"/>
    </xf>
    <xf numFmtId="3" fontId="69" fillId="33" borderId="59" xfId="0" applyNumberFormat="1" applyFont="1" applyFill="1" applyBorder="1" applyAlignment="1">
      <alignment horizontal="center"/>
    </xf>
    <xf numFmtId="0" fontId="0" fillId="3" borderId="59" xfId="0" applyFill="1" applyBorder="1"/>
    <xf numFmtId="0" fontId="14" fillId="0" borderId="21" xfId="13" applyFont="1" applyFill="1" applyBorder="1" applyAlignment="1">
      <alignment horizontal="left" vertical="center"/>
    </xf>
    <xf numFmtId="3" fontId="69" fillId="3" borderId="0" xfId="0" applyNumberFormat="1" applyFont="1" applyFill="1" applyBorder="1" applyAlignment="1">
      <alignment horizontal="center"/>
    </xf>
    <xf numFmtId="3" fontId="69" fillId="33" borderId="58" xfId="0" applyNumberFormat="1" applyFont="1" applyFill="1" applyBorder="1" applyAlignment="1">
      <alignment horizontal="center"/>
    </xf>
    <xf numFmtId="0" fontId="0" fillId="3" borderId="19" xfId="0" applyFont="1" applyFill="1" applyBorder="1"/>
    <xf numFmtId="0" fontId="14" fillId="0" borderId="11" xfId="13" applyFont="1" applyFill="1" applyBorder="1" applyAlignment="1">
      <alignment horizontal="left" vertical="center"/>
    </xf>
    <xf numFmtId="3" fontId="69" fillId="5" borderId="63" xfId="0" applyNumberFormat="1" applyFont="1" applyFill="1" applyBorder="1" applyAlignment="1">
      <alignment horizontal="center"/>
    </xf>
    <xf numFmtId="0" fontId="0" fillId="3" borderId="12" xfId="0" applyFont="1" applyFill="1" applyBorder="1" applyAlignment="1">
      <alignment horizontal="center"/>
    </xf>
    <xf numFmtId="0" fontId="0" fillId="3" borderId="19" xfId="0" applyFill="1" applyBorder="1"/>
    <xf numFmtId="3" fontId="69" fillId="33" borderId="63" xfId="0" applyNumberFormat="1" applyFont="1" applyFill="1" applyBorder="1" applyAlignment="1">
      <alignment horizontal="center"/>
    </xf>
    <xf numFmtId="0" fontId="62" fillId="0" borderId="11" xfId="0" applyFont="1" applyBorder="1"/>
    <xf numFmtId="0" fontId="0" fillId="3" borderId="21" xfId="0" applyFont="1" applyFill="1" applyBorder="1"/>
    <xf numFmtId="0" fontId="14" fillId="0" borderId="22" xfId="13" applyFont="1" applyFill="1" applyBorder="1" applyAlignment="1">
      <alignment horizontal="left" vertical="center"/>
    </xf>
    <xf numFmtId="0" fontId="69" fillId="3" borderId="3" xfId="0" applyFont="1" applyFill="1" applyBorder="1"/>
    <xf numFmtId="0" fontId="69" fillId="3" borderId="4" xfId="0" applyFont="1" applyFill="1" applyBorder="1"/>
    <xf numFmtId="0" fontId="0" fillId="3" borderId="4" xfId="0" applyFont="1" applyFill="1" applyBorder="1"/>
    <xf numFmtId="3" fontId="11" fillId="3" borderId="8" xfId="0" applyNumberFormat="1" applyFont="1" applyFill="1" applyBorder="1" applyAlignment="1">
      <alignment horizontal="center"/>
    </xf>
    <xf numFmtId="0" fontId="69" fillId="3" borderId="15" xfId="0" applyFont="1" applyFill="1" applyBorder="1"/>
    <xf numFmtId="0" fontId="67" fillId="0" borderId="10" xfId="0" applyFont="1" applyFill="1" applyBorder="1"/>
    <xf numFmtId="0" fontId="67" fillId="0" borderId="0" xfId="0" applyFont="1" applyFill="1" applyBorder="1"/>
    <xf numFmtId="0" fontId="0" fillId="0" borderId="0" xfId="0" applyFont="1" applyFill="1" applyBorder="1" applyAlignment="1">
      <alignment horizontal="center"/>
    </xf>
    <xf numFmtId="3" fontId="69" fillId="0" borderId="8" xfId="0" applyNumberFormat="1" applyFont="1" applyFill="1" applyBorder="1" applyAlignment="1">
      <alignment horizontal="center"/>
    </xf>
    <xf numFmtId="0" fontId="68" fillId="0" borderId="10" xfId="0" applyFont="1" applyFill="1" applyBorder="1"/>
    <xf numFmtId="0" fontId="68" fillId="0" borderId="0" xfId="0" applyFont="1" applyFill="1" applyBorder="1"/>
    <xf numFmtId="3" fontId="11" fillId="3" borderId="12" xfId="0" applyNumberFormat="1" applyFont="1" applyFill="1" applyBorder="1" applyAlignment="1">
      <alignment horizontal="center"/>
    </xf>
    <xf numFmtId="9" fontId="62" fillId="3" borderId="72" xfId="211" applyFont="1" applyFill="1" applyBorder="1" applyAlignment="1">
      <alignment horizontal="center"/>
    </xf>
    <xf numFmtId="9" fontId="62" fillId="32" borderId="50" xfId="211" applyFont="1" applyFill="1" applyBorder="1" applyAlignment="1">
      <alignment horizontal="center"/>
    </xf>
    <xf numFmtId="0" fontId="62" fillId="32" borderId="16" xfId="0" applyFont="1" applyFill="1" applyBorder="1" applyAlignment="1">
      <alignment horizontal="center"/>
    </xf>
    <xf numFmtId="0" fontId="69" fillId="3" borderId="10" xfId="0" applyFont="1" applyFill="1" applyBorder="1"/>
    <xf numFmtId="0" fontId="69" fillId="3" borderId="0" xfId="0" applyFont="1" applyFill="1" applyBorder="1"/>
    <xf numFmtId="3" fontId="69" fillId="5" borderId="61" xfId="0" applyNumberFormat="1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10" xfId="0" applyFill="1" applyBorder="1"/>
    <xf numFmtId="3" fontId="69" fillId="5" borderId="77" xfId="0" applyNumberFormat="1" applyFont="1" applyFill="1" applyBorder="1" applyAlignment="1">
      <alignment horizontal="center"/>
    </xf>
    <xf numFmtId="0" fontId="62" fillId="3" borderId="10" xfId="0" applyFont="1" applyFill="1" applyBorder="1"/>
    <xf numFmtId="3" fontId="69" fillId="5" borderId="50" xfId="0" applyNumberFormat="1" applyFont="1" applyFill="1" applyBorder="1" applyAlignment="1">
      <alignment horizontal="center"/>
    </xf>
    <xf numFmtId="0" fontId="11" fillId="3" borderId="10" xfId="0" applyFont="1" applyFill="1" applyBorder="1"/>
    <xf numFmtId="3" fontId="69" fillId="5" borderId="35" xfId="0" applyNumberFormat="1" applyFont="1" applyFill="1" applyBorder="1" applyAlignment="1">
      <alignment horizontal="center"/>
    </xf>
    <xf numFmtId="0" fontId="11" fillId="3" borderId="0" xfId="0" applyFont="1" applyFill="1" applyBorder="1"/>
    <xf numFmtId="185" fontId="0" fillId="3" borderId="0" xfId="0" applyNumberFormat="1" applyFont="1" applyFill="1" applyBorder="1"/>
    <xf numFmtId="9" fontId="68" fillId="0" borderId="0" xfId="0" applyNumberFormat="1" applyFont="1" applyFill="1" applyBorder="1"/>
    <xf numFmtId="3" fontId="11" fillId="3" borderId="11" xfId="0" applyNumberFormat="1" applyFont="1" applyFill="1" applyBorder="1" applyAlignment="1">
      <alignment horizontal="center"/>
    </xf>
    <xf numFmtId="0" fontId="0" fillId="3" borderId="14" xfId="0" applyFont="1" applyFill="1" applyBorder="1"/>
    <xf numFmtId="0" fontId="0" fillId="3" borderId="15" xfId="0" applyFont="1" applyFill="1" applyBorder="1"/>
    <xf numFmtId="3" fontId="69" fillId="3" borderId="15" xfId="0" applyNumberFormat="1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3" fillId="4" borderId="0" xfId="21" applyFont="1" applyFill="1"/>
    <xf numFmtId="0" fontId="3" fillId="30" borderId="0" xfId="21" applyFont="1" applyFill="1"/>
    <xf numFmtId="0" fontId="73" fillId="4" borderId="0" xfId="21" applyFont="1" applyFill="1" applyAlignment="1">
      <alignment horizontal="center"/>
    </xf>
    <xf numFmtId="0" fontId="74" fillId="4" borderId="0" xfId="21" applyFont="1" applyFill="1"/>
    <xf numFmtId="0" fontId="3" fillId="0" borderId="0" xfId="21" applyFont="1" applyFill="1"/>
    <xf numFmtId="0" fontId="75" fillId="4" borderId="0" xfId="21" applyFont="1" applyFill="1"/>
    <xf numFmtId="0" fontId="3" fillId="0" borderId="0" xfId="21" applyFont="1" applyFill="1" applyBorder="1" applyAlignment="1">
      <alignment horizontal="left"/>
    </xf>
    <xf numFmtId="0" fontId="3" fillId="0" borderId="0" xfId="21" applyFont="1" applyFill="1" applyBorder="1" applyAlignment="1">
      <alignment horizontal="center" wrapText="1"/>
    </xf>
    <xf numFmtId="0" fontId="3" fillId="0" borderId="0" xfId="21" applyFont="1" applyFill="1" applyBorder="1" applyAlignment="1">
      <alignment horizontal="left" wrapText="1"/>
    </xf>
    <xf numFmtId="0" fontId="76" fillId="0" borderId="7" xfId="21" applyFont="1" applyFill="1" applyBorder="1" applyAlignment="1">
      <alignment horizontal="center" wrapText="1"/>
    </xf>
    <xf numFmtId="0" fontId="76" fillId="0" borderId="16" xfId="21" applyFont="1" applyFill="1" applyBorder="1" applyAlignment="1">
      <alignment horizontal="center" wrapText="1"/>
    </xf>
    <xf numFmtId="0" fontId="76" fillId="0" borderId="62" xfId="21" applyFont="1" applyFill="1" applyBorder="1" applyAlignment="1">
      <alignment horizontal="center" wrapText="1"/>
    </xf>
    <xf numFmtId="0" fontId="76" fillId="0" borderId="0" xfId="21" applyFont="1" applyFill="1"/>
    <xf numFmtId="0" fontId="76" fillId="4" borderId="0" xfId="21" applyFont="1" applyFill="1"/>
    <xf numFmtId="0" fontId="77" fillId="4" borderId="0" xfId="21" applyFont="1" applyFill="1" applyBorder="1" applyAlignment="1">
      <alignment wrapText="1"/>
    </xf>
    <xf numFmtId="0" fontId="73" fillId="4" borderId="0" xfId="21" applyFont="1" applyFill="1" applyBorder="1" applyAlignment="1">
      <alignment horizontal="center" wrapText="1"/>
    </xf>
    <xf numFmtId="0" fontId="76" fillId="0" borderId="73" xfId="21" applyFont="1" applyFill="1" applyBorder="1" applyAlignment="1">
      <alignment horizontal="center" wrapText="1"/>
    </xf>
    <xf numFmtId="0" fontId="76" fillId="0" borderId="38" xfId="21" applyFont="1" applyFill="1" applyBorder="1" applyAlignment="1">
      <alignment horizontal="center" wrapText="1"/>
    </xf>
    <xf numFmtId="0" fontId="76" fillId="0" borderId="11" xfId="21" applyFont="1" applyFill="1" applyBorder="1" applyAlignment="1">
      <alignment horizontal="center" wrapText="1"/>
    </xf>
    <xf numFmtId="0" fontId="76" fillId="0" borderId="61" xfId="21" applyFont="1" applyFill="1" applyBorder="1" applyAlignment="1">
      <alignment horizontal="center" wrapText="1"/>
    </xf>
    <xf numFmtId="0" fontId="77" fillId="4" borderId="0" xfId="21" applyFont="1" applyFill="1" applyBorder="1" applyAlignment="1">
      <alignment horizontal="center" wrapText="1"/>
    </xf>
    <xf numFmtId="0" fontId="76" fillId="0" borderId="73" xfId="21" applyFont="1" applyFill="1" applyBorder="1" applyAlignment="1">
      <alignment wrapText="1"/>
    </xf>
    <xf numFmtId="0" fontId="76" fillId="0" borderId="11" xfId="21" applyFont="1" applyFill="1" applyBorder="1" applyAlignment="1">
      <alignment horizontal="center" wrapText="1"/>
    </xf>
    <xf numFmtId="0" fontId="76" fillId="0" borderId="11" xfId="21" applyFont="1" applyFill="1" applyBorder="1" applyAlignment="1">
      <alignment wrapText="1"/>
    </xf>
    <xf numFmtId="0" fontId="76" fillId="0" borderId="0" xfId="21" applyFont="1" applyFill="1" applyBorder="1" applyAlignment="1">
      <alignment horizontal="center" wrapText="1"/>
    </xf>
    <xf numFmtId="0" fontId="76" fillId="0" borderId="0" xfId="21" applyFont="1" applyFill="1" applyBorder="1" applyAlignment="1">
      <alignment wrapText="1"/>
    </xf>
    <xf numFmtId="0" fontId="76" fillId="4" borderId="0" xfId="21" applyFont="1" applyFill="1" applyBorder="1" applyAlignment="1">
      <alignment wrapText="1"/>
    </xf>
    <xf numFmtId="0" fontId="76" fillId="0" borderId="60" xfId="21" applyFont="1" applyFill="1" applyBorder="1" applyAlignment="1">
      <alignment horizontal="center" wrapText="1"/>
    </xf>
    <xf numFmtId="0" fontId="76" fillId="0" borderId="35" xfId="21" applyFont="1" applyFill="1" applyBorder="1" applyAlignment="1">
      <alignment horizontal="center" wrapText="1"/>
    </xf>
    <xf numFmtId="0" fontId="76" fillId="0" borderId="34" xfId="21" applyFont="1" applyFill="1" applyBorder="1" applyAlignment="1">
      <alignment horizontal="center" wrapText="1"/>
    </xf>
    <xf numFmtId="0" fontId="76" fillId="0" borderId="1" xfId="21" applyFont="1" applyFill="1" applyBorder="1" applyAlignment="1">
      <alignment wrapText="1"/>
    </xf>
    <xf numFmtId="0" fontId="76" fillId="0" borderId="34" xfId="21" applyFont="1" applyFill="1" applyBorder="1" applyAlignment="1">
      <alignment wrapText="1"/>
    </xf>
    <xf numFmtId="0" fontId="3" fillId="0" borderId="0" xfId="21" applyFont="1" applyFill="1" applyAlignment="1">
      <alignment wrapText="1"/>
    </xf>
    <xf numFmtId="0" fontId="76" fillId="0" borderId="24" xfId="21" applyFont="1" applyFill="1" applyBorder="1" applyAlignment="1">
      <alignment horizontal="center" vertical="center" wrapText="1"/>
    </xf>
    <xf numFmtId="0" fontId="76" fillId="0" borderId="25" xfId="21" applyFont="1" applyFill="1" applyBorder="1" applyAlignment="1">
      <alignment horizontal="center" vertical="center" wrapText="1"/>
    </xf>
    <xf numFmtId="0" fontId="76" fillId="0" borderId="25" xfId="21" applyFont="1" applyFill="1" applyBorder="1" applyAlignment="1">
      <alignment horizontal="center" wrapText="1"/>
    </xf>
    <xf numFmtId="0" fontId="76" fillId="0" borderId="26" xfId="21" applyFont="1" applyFill="1" applyBorder="1" applyAlignment="1">
      <alignment horizontal="center" wrapText="1"/>
    </xf>
    <xf numFmtId="0" fontId="76" fillId="0" borderId="19" xfId="21" applyFont="1" applyFill="1" applyBorder="1" applyAlignment="1">
      <alignment horizontal="center" vertical="center" wrapText="1"/>
    </xf>
    <xf numFmtId="0" fontId="76" fillId="0" borderId="11" xfId="21" applyFont="1" applyFill="1" applyBorder="1" applyAlignment="1">
      <alignment horizontal="center" vertical="center" wrapText="1"/>
    </xf>
    <xf numFmtId="0" fontId="76" fillId="0" borderId="20" xfId="21" applyFont="1" applyFill="1" applyBorder="1" applyAlignment="1">
      <alignment horizontal="center" wrapText="1"/>
    </xf>
    <xf numFmtId="0" fontId="76" fillId="0" borderId="21" xfId="21" applyFont="1" applyFill="1" applyBorder="1" applyAlignment="1">
      <alignment horizontal="center" wrapText="1"/>
    </xf>
    <xf numFmtId="0" fontId="76" fillId="0" borderId="22" xfId="21" applyFont="1" applyFill="1" applyBorder="1" applyAlignment="1">
      <alignment horizontal="center" wrapText="1"/>
    </xf>
    <xf numFmtId="0" fontId="3" fillId="0" borderId="22" xfId="21" applyFont="1" applyFill="1" applyBorder="1"/>
    <xf numFmtId="0" fontId="3" fillId="0" borderId="23" xfId="21" applyFont="1" applyFill="1" applyBorder="1"/>
    <xf numFmtId="0" fontId="78" fillId="0" borderId="0" xfId="21" applyFont="1" applyFill="1"/>
    <xf numFmtId="0" fontId="77" fillId="0" borderId="66" xfId="21" applyFont="1" applyFill="1" applyBorder="1" applyAlignment="1">
      <alignment horizontal="center" vertical="center" wrapText="1"/>
    </xf>
    <xf numFmtId="0" fontId="77" fillId="4" borderId="66" xfId="21" applyFont="1" applyFill="1" applyBorder="1" applyAlignment="1">
      <alignment horizontal="center" vertical="center" wrapText="1"/>
    </xf>
    <xf numFmtId="0" fontId="73" fillId="29" borderId="66" xfId="21" applyFont="1" applyFill="1" applyBorder="1" applyAlignment="1">
      <alignment horizontal="center" vertical="center" wrapText="1"/>
    </xf>
    <xf numFmtId="0" fontId="74" fillId="29" borderId="66" xfId="21" applyFont="1" applyFill="1" applyBorder="1" applyAlignment="1">
      <alignment horizontal="center" vertical="center" wrapText="1"/>
    </xf>
    <xf numFmtId="0" fontId="77" fillId="0" borderId="67" xfId="21" applyFont="1" applyFill="1" applyBorder="1" applyAlignment="1">
      <alignment horizontal="center" vertical="center" wrapText="1"/>
    </xf>
    <xf numFmtId="0" fontId="77" fillId="4" borderId="67" xfId="21" applyFont="1" applyFill="1" applyBorder="1" applyAlignment="1">
      <alignment horizontal="center" vertical="center" wrapText="1"/>
    </xf>
    <xf numFmtId="0" fontId="73" fillId="29" borderId="67" xfId="21" applyFont="1" applyFill="1" applyBorder="1" applyAlignment="1">
      <alignment horizontal="center" vertical="center" wrapText="1"/>
    </xf>
    <xf numFmtId="0" fontId="74" fillId="29" borderId="67" xfId="21" applyFont="1" applyFill="1" applyBorder="1" applyAlignment="1">
      <alignment horizontal="center" vertical="center" wrapText="1"/>
    </xf>
    <xf numFmtId="0" fontId="76" fillId="0" borderId="11" xfId="21" applyFont="1" applyFill="1" applyBorder="1"/>
    <xf numFmtId="0" fontId="0" fillId="0" borderId="11" xfId="0" applyFill="1" applyBorder="1"/>
    <xf numFmtId="3" fontId="62" fillId="0" borderId="11" xfId="0" applyNumberFormat="1" applyFont="1" applyBorder="1"/>
    <xf numFmtId="3" fontId="62" fillId="0" borderId="11" xfId="71" applyNumberFormat="1" applyFont="1" applyBorder="1"/>
    <xf numFmtId="3" fontId="62" fillId="0" borderId="20" xfId="71" applyNumberFormat="1" applyFont="1" applyBorder="1"/>
    <xf numFmtId="0" fontId="73" fillId="29" borderId="11" xfId="21" applyFont="1" applyFill="1" applyBorder="1" applyAlignment="1">
      <alignment horizontal="center" vertical="top" wrapText="1"/>
    </xf>
    <xf numFmtId="3" fontId="74" fillId="29" borderId="11" xfId="21" applyNumberFormat="1" applyFont="1" applyFill="1" applyBorder="1" applyAlignment="1">
      <alignment vertical="top" wrapText="1"/>
    </xf>
    <xf numFmtId="0" fontId="76" fillId="0" borderId="16" xfId="21" applyFont="1" applyFill="1" applyBorder="1"/>
    <xf numFmtId="0" fontId="78" fillId="0" borderId="16" xfId="21" applyFont="1" applyBorder="1" applyAlignment="1">
      <alignment horizontal="center"/>
    </xf>
    <xf numFmtId="0" fontId="0" fillId="0" borderId="16" xfId="0" applyFill="1" applyBorder="1"/>
    <xf numFmtId="3" fontId="77" fillId="0" borderId="16" xfId="21" applyNumberFormat="1" applyFont="1" applyFill="1" applyBorder="1" applyAlignment="1">
      <alignment vertical="top" wrapText="1"/>
    </xf>
    <xf numFmtId="41" fontId="10" fillId="0" borderId="16" xfId="71" applyFont="1" applyFill="1" applyBorder="1"/>
    <xf numFmtId="0" fontId="73" fillId="29" borderId="9" xfId="21" applyFont="1" applyFill="1" applyBorder="1" applyAlignment="1">
      <alignment horizontal="center" vertical="top" wrapText="1"/>
    </xf>
    <xf numFmtId="3" fontId="74" fillId="29" borderId="9" xfId="21" applyNumberFormat="1" applyFont="1" applyFill="1" applyBorder="1" applyAlignment="1">
      <alignment vertical="top" wrapText="1"/>
    </xf>
    <xf numFmtId="0" fontId="78" fillId="0" borderId="11" xfId="21" applyFont="1" applyBorder="1" applyAlignment="1">
      <alignment horizontal="center"/>
    </xf>
    <xf numFmtId="3" fontId="77" fillId="0" borderId="11" xfId="21" applyNumberFormat="1" applyFont="1" applyFill="1" applyBorder="1" applyAlignment="1">
      <alignment vertical="top" wrapText="1"/>
    </xf>
    <xf numFmtId="41" fontId="10" fillId="0" borderId="11" xfId="71" applyFont="1" applyFill="1" applyBorder="1"/>
    <xf numFmtId="3" fontId="78" fillId="0" borderId="11" xfId="21" applyNumberFormat="1" applyFont="1" applyFill="1" applyBorder="1"/>
    <xf numFmtId="0" fontId="74" fillId="29" borderId="9" xfId="21" applyFont="1" applyFill="1" applyBorder="1" applyAlignment="1">
      <alignment vertical="top" wrapText="1"/>
    </xf>
    <xf numFmtId="0" fontId="77" fillId="0" borderId="11" xfId="21" applyFont="1" applyFill="1" applyBorder="1" applyAlignment="1">
      <alignment horizontal="left" wrapText="1"/>
    </xf>
    <xf numFmtId="0" fontId="76" fillId="0" borderId="35" xfId="21" applyFont="1" applyFill="1" applyBorder="1"/>
    <xf numFmtId="0" fontId="78" fillId="0" borderId="35" xfId="21" applyFont="1" applyBorder="1" applyAlignment="1">
      <alignment horizontal="center"/>
    </xf>
    <xf numFmtId="0" fontId="77" fillId="0" borderId="35" xfId="21" applyFont="1" applyFill="1" applyBorder="1" applyAlignment="1">
      <alignment horizontal="left" wrapText="1"/>
    </xf>
    <xf numFmtId="3" fontId="78" fillId="0" borderId="35" xfId="21" applyNumberFormat="1" applyFont="1" applyFill="1" applyBorder="1"/>
    <xf numFmtId="3" fontId="77" fillId="0" borderId="35" xfId="21" applyNumberFormat="1" applyFont="1" applyFill="1" applyBorder="1" applyAlignment="1">
      <alignment vertical="top" wrapText="1"/>
    </xf>
    <xf numFmtId="0" fontId="73" fillId="29" borderId="12" xfId="21" applyFont="1" applyFill="1" applyBorder="1" applyAlignment="1">
      <alignment horizontal="center" vertical="top" wrapText="1"/>
    </xf>
    <xf numFmtId="0" fontId="74" fillId="29" borderId="12" xfId="21" applyFont="1" applyFill="1" applyBorder="1" applyAlignment="1">
      <alignment vertical="top" wrapText="1"/>
    </xf>
    <xf numFmtId="0" fontId="3" fillId="0" borderId="29" xfId="21" applyFont="1" applyFill="1" applyBorder="1" applyAlignment="1">
      <alignment horizontal="center"/>
    </xf>
    <xf numFmtId="0" fontId="77" fillId="0" borderId="65" xfId="21" applyFont="1" applyFill="1" applyBorder="1" applyAlignment="1">
      <alignment horizontal="center" wrapText="1"/>
    </xf>
    <xf numFmtId="0" fontId="77" fillId="0" borderId="65" xfId="21" applyFont="1" applyFill="1" applyBorder="1" applyAlignment="1">
      <alignment horizontal="center" vertical="top" wrapText="1"/>
    </xf>
    <xf numFmtId="3" fontId="62" fillId="0" borderId="65" xfId="0" applyNumberFormat="1" applyFont="1" applyBorder="1"/>
    <xf numFmtId="0" fontId="73" fillId="29" borderId="5" xfId="21" applyFont="1" applyFill="1" applyBorder="1" applyAlignment="1">
      <alignment horizontal="center" vertical="top" wrapText="1"/>
    </xf>
    <xf numFmtId="0" fontId="74" fillId="29" borderId="5" xfId="21" applyFont="1" applyFill="1" applyBorder="1" applyAlignment="1">
      <alignment horizontal="center" vertical="top" wrapText="1"/>
    </xf>
    <xf numFmtId="0" fontId="74" fillId="0" borderId="0" xfId="21" applyFont="1" applyFill="1"/>
    <xf numFmtId="0" fontId="73" fillId="29" borderId="0" xfId="21" applyFont="1" applyFill="1" applyAlignment="1">
      <alignment horizontal="center"/>
    </xf>
    <xf numFmtId="3" fontId="22" fillId="29" borderId="68" xfId="21" applyNumberFormat="1" applyFont="1" applyFill="1" applyBorder="1" applyAlignment="1">
      <alignment horizontal="center"/>
    </xf>
    <xf numFmtId="0" fontId="77" fillId="0" borderId="3" xfId="21" applyFont="1" applyFill="1" applyBorder="1" applyAlignment="1">
      <alignment horizontal="center" wrapText="1"/>
    </xf>
    <xf numFmtId="0" fontId="77" fillId="0" borderId="4" xfId="21" applyFont="1" applyFill="1" applyBorder="1" applyAlignment="1">
      <alignment horizontal="center" wrapText="1"/>
    </xf>
    <xf numFmtId="0" fontId="77" fillId="0" borderId="5" xfId="21" applyFont="1" applyFill="1" applyBorder="1" applyAlignment="1">
      <alignment horizontal="center" wrapText="1"/>
    </xf>
    <xf numFmtId="3" fontId="22" fillId="29" borderId="8" xfId="21" applyNumberFormat="1" applyFont="1" applyFill="1" applyBorder="1" applyAlignment="1">
      <alignment horizontal="center"/>
    </xf>
    <xf numFmtId="0" fontId="77" fillId="0" borderId="17" xfId="21" applyFont="1" applyFill="1" applyBorder="1" applyAlignment="1">
      <alignment horizontal="center" vertical="center" wrapText="1"/>
    </xf>
    <xf numFmtId="0" fontId="77" fillId="0" borderId="13" xfId="21" applyFont="1" applyFill="1" applyBorder="1" applyAlignment="1">
      <alignment horizontal="center" vertical="center" wrapText="1"/>
    </xf>
    <xf numFmtId="3" fontId="74" fillId="4" borderId="0" xfId="21" applyNumberFormat="1" applyFont="1" applyFill="1"/>
    <xf numFmtId="0" fontId="77" fillId="0" borderId="14" xfId="21" applyFont="1" applyFill="1" applyBorder="1" applyAlignment="1">
      <alignment horizontal="center" vertical="center" wrapText="1"/>
    </xf>
    <xf numFmtId="0" fontId="77" fillId="0" borderId="9" xfId="21" applyFont="1" applyFill="1" applyBorder="1" applyAlignment="1">
      <alignment horizontal="center" vertical="center" wrapText="1"/>
    </xf>
    <xf numFmtId="0" fontId="77" fillId="0" borderId="68" xfId="21" applyFont="1" applyFill="1" applyBorder="1" applyAlignment="1">
      <alignment horizontal="center" vertical="center" wrapText="1"/>
    </xf>
    <xf numFmtId="3" fontId="77" fillId="4" borderId="9" xfId="21" applyNumberFormat="1" applyFont="1" applyFill="1" applyBorder="1" applyAlignment="1">
      <alignment horizontal="center" vertical="top" wrapText="1"/>
    </xf>
    <xf numFmtId="0" fontId="75" fillId="0" borderId="0" xfId="21" applyFont="1" applyFill="1"/>
    <xf numFmtId="0" fontId="79" fillId="0" borderId="0" xfId="21" applyFont="1" applyFill="1" applyAlignment="1">
      <alignment horizontal="left" vertical="top" indent="15"/>
    </xf>
    <xf numFmtId="0" fontId="77" fillId="0" borderId="3" xfId="21" applyFont="1" applyFill="1" applyBorder="1" applyAlignment="1">
      <alignment horizontal="center" vertical="center" wrapText="1"/>
    </xf>
    <xf numFmtId="0" fontId="77" fillId="0" borderId="5" xfId="21" applyFont="1" applyFill="1" applyBorder="1" applyAlignment="1">
      <alignment horizontal="center" vertical="center" wrapText="1"/>
    </xf>
    <xf numFmtId="0" fontId="77" fillId="0" borderId="14" xfId="21" applyFont="1" applyFill="1" applyBorder="1" applyAlignment="1">
      <alignment horizontal="center" wrapText="1"/>
    </xf>
    <xf numFmtId="0" fontId="77" fillId="0" borderId="9" xfId="21" applyFont="1" applyFill="1" applyBorder="1" applyAlignment="1">
      <alignment horizontal="center" wrapText="1"/>
    </xf>
    <xf numFmtId="0" fontId="0" fillId="30" borderId="0" xfId="0" applyFill="1"/>
    <xf numFmtId="0" fontId="10" fillId="0" borderId="0" xfId="0" applyFont="1" applyAlignment="1">
      <alignment horizontal="center"/>
    </xf>
    <xf numFmtId="0" fontId="80" fillId="0" borderId="0" xfId="0" applyFont="1"/>
    <xf numFmtId="179" fontId="65" fillId="31" borderId="17" xfId="221" applyNumberFormat="1" applyFont="1" applyFill="1" applyBorder="1" applyAlignment="1">
      <alignment horizontal="center" vertical="center" wrapText="1"/>
    </xf>
    <xf numFmtId="179" fontId="65" fillId="31" borderId="18" xfId="221" applyNumberFormat="1" applyFont="1" applyFill="1" applyBorder="1" applyAlignment="1">
      <alignment horizontal="center" vertical="center" wrapText="1"/>
    </xf>
    <xf numFmtId="179" fontId="65" fillId="31" borderId="13" xfId="221" applyNumberFormat="1" applyFont="1" applyFill="1" applyBorder="1" applyAlignment="1">
      <alignment horizontal="center" vertical="center" wrapText="1"/>
    </xf>
    <xf numFmtId="179" fontId="65" fillId="31" borderId="14" xfId="221" applyNumberFormat="1" applyFont="1" applyFill="1" applyBorder="1" applyAlignment="1">
      <alignment horizontal="center" vertical="center" wrapText="1"/>
    </xf>
    <xf numFmtId="179" fontId="65" fillId="31" borderId="15" xfId="221" applyNumberFormat="1" applyFont="1" applyFill="1" applyBorder="1" applyAlignment="1">
      <alignment horizontal="center" vertical="center" wrapText="1"/>
    </xf>
    <xf numFmtId="179" fontId="65" fillId="31" borderId="9" xfId="221" applyNumberFormat="1" applyFont="1" applyFill="1" applyBorder="1" applyAlignment="1">
      <alignment horizontal="center" vertical="center" wrapText="1"/>
    </xf>
    <xf numFmtId="179" fontId="60" fillId="0" borderId="75" xfId="0" applyNumberFormat="1" applyFont="1" applyFill="1" applyBorder="1" applyAlignment="1">
      <alignment horizontal="left" vertical="center" wrapText="1"/>
    </xf>
    <xf numFmtId="179" fontId="60" fillId="0" borderId="70" xfId="0" applyNumberFormat="1" applyFont="1" applyFill="1" applyBorder="1" applyAlignment="1">
      <alignment horizontal="left" vertical="center" wrapText="1"/>
    </xf>
    <xf numFmtId="179" fontId="61" fillId="0" borderId="70" xfId="0" applyNumberFormat="1" applyFont="1" applyFill="1" applyBorder="1" applyAlignment="1">
      <alignment vertical="center"/>
    </xf>
    <xf numFmtId="179" fontId="61" fillId="0" borderId="73" xfId="0" applyNumberFormat="1" applyFont="1" applyFill="1" applyBorder="1" applyAlignment="1">
      <alignment vertical="center"/>
    </xf>
    <xf numFmtId="179" fontId="60" fillId="0" borderId="55" xfId="0" applyNumberFormat="1" applyFont="1" applyFill="1" applyBorder="1" applyAlignment="1">
      <alignment horizontal="left" vertical="center" wrapText="1"/>
    </xf>
    <xf numFmtId="179" fontId="60" fillId="0" borderId="2" xfId="0" applyNumberFormat="1" applyFont="1" applyFill="1" applyBorder="1" applyAlignment="1">
      <alignment horizontal="left" vertical="center" wrapText="1"/>
    </xf>
    <xf numFmtId="179" fontId="61" fillId="0" borderId="28" xfId="0" applyNumberFormat="1" applyFont="1" applyFill="1" applyBorder="1" applyAlignment="1">
      <alignment horizontal="center" vertical="center"/>
    </xf>
    <xf numFmtId="179" fontId="60" fillId="0" borderId="78" xfId="0" applyNumberFormat="1" applyFont="1" applyFill="1" applyBorder="1" applyAlignment="1">
      <alignment horizontal="left" vertical="center" wrapText="1"/>
    </xf>
    <xf numFmtId="179" fontId="60" fillId="0" borderId="71" xfId="0" applyNumberFormat="1" applyFont="1" applyFill="1" applyBorder="1" applyAlignment="1">
      <alignment horizontal="left" vertical="center" wrapText="1"/>
    </xf>
    <xf numFmtId="179" fontId="61" fillId="4" borderId="4" xfId="0" applyNumberFormat="1" applyFont="1" applyFill="1" applyBorder="1" applyAlignment="1">
      <alignment vertical="center"/>
    </xf>
    <xf numFmtId="179" fontId="64" fillId="29" borderId="0" xfId="0" applyNumberFormat="1" applyFont="1" applyFill="1"/>
    <xf numFmtId="0" fontId="0" fillId="0" borderId="24" xfId="0" applyFont="1" applyFill="1" applyBorder="1"/>
    <xf numFmtId="0" fontId="14" fillId="0" borderId="25" xfId="13" applyFont="1" applyFill="1" applyBorder="1" applyAlignment="1">
      <alignment horizontal="left" vertical="center"/>
    </xf>
    <xf numFmtId="0" fontId="0" fillId="0" borderId="19" xfId="0" applyFont="1" applyFill="1" applyBorder="1"/>
    <xf numFmtId="0" fontId="0" fillId="0" borderId="59" xfId="0" applyFill="1" applyBorder="1"/>
    <xf numFmtId="0" fontId="68" fillId="3" borderId="3" xfId="0" applyFont="1" applyFill="1" applyBorder="1"/>
    <xf numFmtId="0" fontId="68" fillId="3" borderId="4" xfId="0" applyFont="1" applyFill="1" applyBorder="1"/>
    <xf numFmtId="0" fontId="73" fillId="29" borderId="17" xfId="21" applyFont="1" applyFill="1" applyBorder="1" applyAlignment="1">
      <alignment horizontal="center" vertical="center" wrapText="1"/>
    </xf>
    <xf numFmtId="0" fontId="73" fillId="29" borderId="10" xfId="21" applyFont="1" applyFill="1" applyBorder="1" applyAlignment="1">
      <alignment horizontal="center" vertical="center" wrapText="1"/>
    </xf>
    <xf numFmtId="0" fontId="73" fillId="29" borderId="61" xfId="21" applyFont="1" applyFill="1" applyBorder="1" applyAlignment="1">
      <alignment horizontal="center" vertical="top" wrapText="1"/>
    </xf>
    <xf numFmtId="0" fontId="73" fillId="29" borderId="15" xfId="21" applyFont="1" applyFill="1" applyBorder="1" applyAlignment="1">
      <alignment horizontal="center" vertical="top" wrapText="1"/>
    </xf>
    <xf numFmtId="0" fontId="73" fillId="29" borderId="4" xfId="21" applyFont="1" applyFill="1" applyBorder="1" applyAlignment="1">
      <alignment horizontal="center" vertical="top" wrapText="1"/>
    </xf>
    <xf numFmtId="0" fontId="74" fillId="29" borderId="68" xfId="21" applyFont="1" applyFill="1" applyBorder="1" applyAlignment="1">
      <alignment vertical="top" wrapText="1"/>
    </xf>
    <xf numFmtId="42" fontId="74" fillId="29" borderId="68" xfId="21" applyNumberFormat="1" applyFont="1" applyFill="1" applyBorder="1" applyAlignment="1">
      <alignment vertical="top" wrapText="1"/>
    </xf>
    <xf numFmtId="0" fontId="74" fillId="29" borderId="8" xfId="21" applyFont="1" applyFill="1" applyBorder="1" applyAlignment="1">
      <alignment horizontal="center" vertical="top" wrapText="1"/>
    </xf>
    <xf numFmtId="3" fontId="5" fillId="0" borderId="35" xfId="3" applyNumberFormat="1" applyFont="1" applyFill="1" applyBorder="1" applyAlignment="1">
      <alignment horizontal="right"/>
    </xf>
    <xf numFmtId="3" fontId="5" fillId="0" borderId="79" xfId="3" applyNumberFormat="1" applyFont="1" applyFill="1" applyBorder="1"/>
    <xf numFmtId="3" fontId="5" fillId="0" borderId="35" xfId="3" applyNumberFormat="1" applyFont="1" applyBorder="1"/>
  </cellXfs>
  <cellStyles count="222">
    <cellStyle name="20% - Énfasis1 2" xfId="29"/>
    <cellStyle name="20% - Énfasis1 3" xfId="154"/>
    <cellStyle name="20% - Énfasis2 2" xfId="30"/>
    <cellStyle name="20% - Énfasis2 3" xfId="155"/>
    <cellStyle name="20% - Énfasis3 2" xfId="31"/>
    <cellStyle name="20% - Énfasis3 3" xfId="156"/>
    <cellStyle name="20% - Énfasis4 2" xfId="32"/>
    <cellStyle name="20% - Énfasis4 3" xfId="157"/>
    <cellStyle name="20% - Énfasis5 2" xfId="33"/>
    <cellStyle name="20% - Énfasis5 3" xfId="158"/>
    <cellStyle name="20% - Énfasis6 2" xfId="34"/>
    <cellStyle name="20% - Énfasis6 3" xfId="159"/>
    <cellStyle name="40% - Énfasis1 2" xfId="35"/>
    <cellStyle name="40% - Énfasis1 3" xfId="160"/>
    <cellStyle name="40% - Énfasis2 2" xfId="36"/>
    <cellStyle name="40% - Énfasis2 3" xfId="161"/>
    <cellStyle name="40% - Énfasis3 2" xfId="37"/>
    <cellStyle name="40% - Énfasis3 3" xfId="162"/>
    <cellStyle name="40% - Énfasis4 2" xfId="38"/>
    <cellStyle name="40% - Énfasis4 3" xfId="163"/>
    <cellStyle name="40% - Énfasis5 2" xfId="39"/>
    <cellStyle name="40% - Énfasis5 3" xfId="164"/>
    <cellStyle name="40% - Énfasis6 2" xfId="40"/>
    <cellStyle name="40% - Énfasis6 3" xfId="165"/>
    <cellStyle name="60% - akcent 1" xfId="5"/>
    <cellStyle name="60% - Énfasis1 2" xfId="41"/>
    <cellStyle name="60% - Énfasis1 3" xfId="166"/>
    <cellStyle name="60% - Énfasis2 2" xfId="42"/>
    <cellStyle name="60% - Énfasis2 3" xfId="167"/>
    <cellStyle name="60% - Énfasis3 2" xfId="43"/>
    <cellStyle name="60% - Énfasis3 3" xfId="168"/>
    <cellStyle name="60% - Énfasis4 2" xfId="44"/>
    <cellStyle name="60% - Énfasis4 3" xfId="169"/>
    <cellStyle name="60% - Énfasis5 2" xfId="45"/>
    <cellStyle name="60% - Énfasis5 3" xfId="170"/>
    <cellStyle name="60% - Énfasis6 2" xfId="46"/>
    <cellStyle name="60% - Énfasis6 3" xfId="171"/>
    <cellStyle name="Advertencia" xfId="47"/>
    <cellStyle name="Buena 2" xfId="172"/>
    <cellStyle name="Buena 3" xfId="173"/>
    <cellStyle name="Calcular" xfId="48"/>
    <cellStyle name="Cálculo 2" xfId="49"/>
    <cellStyle name="Cálculo 3" xfId="174"/>
    <cellStyle name="Celda comprob." xfId="50"/>
    <cellStyle name="Celda de comprobación 2" xfId="51"/>
    <cellStyle name="Celda de comprobación 3" xfId="175"/>
    <cellStyle name="Celda vinculada 2" xfId="52"/>
    <cellStyle name="Celda vinculada 3" xfId="176"/>
    <cellStyle name="Comma_RESPALDO BANCO" xfId="177"/>
    <cellStyle name="Correcto" xfId="53"/>
    <cellStyle name="Currency 2" xfId="7"/>
    <cellStyle name="Encabez. 1" xfId="54"/>
    <cellStyle name="Encabez. 2" xfId="55"/>
    <cellStyle name="Encabezado 3" xfId="56"/>
    <cellStyle name="Encabezado 4 2" xfId="57"/>
    <cellStyle name="Encabezado 4 3" xfId="178"/>
    <cellStyle name="Énfasis1 2" xfId="58"/>
    <cellStyle name="Énfasis1 3" xfId="179"/>
    <cellStyle name="Énfasis2 2" xfId="59"/>
    <cellStyle name="Énfasis2 3" xfId="180"/>
    <cellStyle name="Énfasis3 2" xfId="60"/>
    <cellStyle name="Énfasis3 3" xfId="181"/>
    <cellStyle name="Énfasis4 2" xfId="61"/>
    <cellStyle name="Énfasis4 3" xfId="182"/>
    <cellStyle name="Énfasis5 2" xfId="62"/>
    <cellStyle name="Énfasis5 3" xfId="183"/>
    <cellStyle name="Énfasis6 2" xfId="63"/>
    <cellStyle name="Énfasis6 3" xfId="184"/>
    <cellStyle name="Entrada 2" xfId="64"/>
    <cellStyle name="Entrada 3" xfId="185"/>
    <cellStyle name="Euro" xfId="28"/>
    <cellStyle name="Explicación" xfId="65"/>
    <cellStyle name="Hipervínculo" xfId="221" builtinId="8"/>
    <cellStyle name="Hipervínculo 2" xfId="66"/>
    <cellStyle name="Hipervínculo 3" xfId="67"/>
    <cellStyle name="Hipervínculo 4" xfId="68"/>
    <cellStyle name="Incorrecto 2" xfId="69"/>
    <cellStyle name="Incorrecto 3" xfId="186"/>
    <cellStyle name="Millares [0] 2" xfId="70"/>
    <cellStyle name="Millares [0] 3" xfId="71"/>
    <cellStyle name="Millares [0] 3 2" xfId="187"/>
    <cellStyle name="Millares [0] 4" xfId="214"/>
    <cellStyle name="Millares [0] 5" xfId="213"/>
    <cellStyle name="Millares 10" xfId="72"/>
    <cellStyle name="Millares 11" xfId="73"/>
    <cellStyle name="Millares 12" xfId="215"/>
    <cellStyle name="Millares 2" xfId="8"/>
    <cellStyle name="Millares 2 2" xfId="9"/>
    <cellStyle name="Millares 2 2 2" xfId="74"/>
    <cellStyle name="Millares 2 3" xfId="75"/>
    <cellStyle name="Millares 2 3 2" xfId="76"/>
    <cellStyle name="Millares 2 4" xfId="77"/>
    <cellStyle name="Millares 2 4 2" xfId="78"/>
    <cellStyle name="Millares 2 5" xfId="79"/>
    <cellStyle name="Millares 2 6" xfId="188"/>
    <cellStyle name="Millares 2 7" xfId="216"/>
    <cellStyle name="Millares 3" xfId="10"/>
    <cellStyle name="Millares 3 2" xfId="11"/>
    <cellStyle name="Millares 3 3" xfId="80"/>
    <cellStyle name="Millares 4" xfId="81"/>
    <cellStyle name="Millares 4 2" xfId="82"/>
    <cellStyle name="Millares 5" xfId="83"/>
    <cellStyle name="Millares 5 2" xfId="84"/>
    <cellStyle name="Millares 6" xfId="85"/>
    <cellStyle name="Millares 6 2" xfId="189"/>
    <cellStyle name="Millares 7" xfId="86"/>
    <cellStyle name="Millares 8" xfId="87"/>
    <cellStyle name="Millares 9" xfId="88"/>
    <cellStyle name="Moneda" xfId="1" builtinId="4"/>
    <cellStyle name="Moneda [0]" xfId="6" builtinId="7"/>
    <cellStyle name="Moneda [0] 2" xfId="190"/>
    <cellStyle name="Moneda [0] 2 2" xfId="191"/>
    <cellStyle name="Moneda [0] 3" xfId="192"/>
    <cellStyle name="Moneda [0] 4" xfId="193"/>
    <cellStyle name="Moneda [0] 5" xfId="194"/>
    <cellStyle name="Moneda [0]_Libro2" xfId="26"/>
    <cellStyle name="Moneda 2" xfId="89"/>
    <cellStyle name="Moneda 2 2" xfId="90"/>
    <cellStyle name="Moneda 2 3" xfId="91"/>
    <cellStyle name="Moneda 2 4" xfId="210"/>
    <cellStyle name="Moneda 3" xfId="92"/>
    <cellStyle name="Moneda 3 2" xfId="93"/>
    <cellStyle name="Moneda 4" xfId="94"/>
    <cellStyle name="Moneda 5" xfId="95"/>
    <cellStyle name="Neutral 2" xfId="96"/>
    <cellStyle name="Neutral 3" xfId="195"/>
    <cellStyle name="Normal" xfId="0" builtinId="0"/>
    <cellStyle name="Normal 10" xfId="97"/>
    <cellStyle name="Normal 11" xfId="98"/>
    <cellStyle name="Normal 12" xfId="99"/>
    <cellStyle name="Normal 13" xfId="100"/>
    <cellStyle name="Normal 14" xfId="101"/>
    <cellStyle name="Normal 15" xfId="102"/>
    <cellStyle name="Normal 16" xfId="103"/>
    <cellStyle name="Normal 17" xfId="104"/>
    <cellStyle name="Normal 17 2" xfId="105"/>
    <cellStyle name="Normal 18" xfId="106"/>
    <cellStyle name="Normal 19" xfId="196"/>
    <cellStyle name="Normal 2" xfId="2"/>
    <cellStyle name="Normal 2 2" xfId="12"/>
    <cellStyle name="Normal 2 2 2" xfId="13"/>
    <cellStyle name="Normal 2 2 2 2" xfId="14"/>
    <cellStyle name="Normal 2 2 2 3" xfId="107"/>
    <cellStyle name="Normal 2 2 3" xfId="15"/>
    <cellStyle name="Normal 2 2 4" xfId="108"/>
    <cellStyle name="Normal 2 2 4 2" xfId="109"/>
    <cellStyle name="Normal 2 3" xfId="110"/>
    <cellStyle name="Normal 2 3 2" xfId="16"/>
    <cellStyle name="Normal 2 3 2 2" xfId="17"/>
    <cellStyle name="Normal 2 3 3" xfId="18"/>
    <cellStyle name="Normal 2 4" xfId="19"/>
    <cellStyle name="Normal 2 4 2" xfId="111"/>
    <cellStyle name="Normal 2 5" xfId="112"/>
    <cellStyle name="Normal 2 5 2" xfId="152"/>
    <cellStyle name="Normal 2 6" xfId="113"/>
    <cellStyle name="Normal 2 7" xfId="114"/>
    <cellStyle name="Normal 2 7 2" xfId="115"/>
    <cellStyle name="Normal 2 8" xfId="116"/>
    <cellStyle name="Normal 2_Copia de VENTAS SEPTIEMBRE 2012-1" xfId="197"/>
    <cellStyle name="Normal 20" xfId="217"/>
    <cellStyle name="Normal 21" xfId="218"/>
    <cellStyle name="Normal 22" xfId="212"/>
    <cellStyle name="Normal 3" xfId="3"/>
    <cellStyle name="Normal 3 2" xfId="117"/>
    <cellStyle name="Normal 3 2 2" xfId="118"/>
    <cellStyle name="Normal 3 3" xfId="20"/>
    <cellStyle name="Normal 3 3 2" xfId="21"/>
    <cellStyle name="Normal 3 3 2 2" xfId="119"/>
    <cellStyle name="Normal 3 4" xfId="120"/>
    <cellStyle name="Normal 3 5" xfId="121"/>
    <cellStyle name="Normal 3 6" xfId="198"/>
    <cellStyle name="Normal 4" xfId="122"/>
    <cellStyle name="Normal 4 2" xfId="123"/>
    <cellStyle name="Normal 4 2 2" xfId="124"/>
    <cellStyle name="Normal 4 3" xfId="125"/>
    <cellStyle name="Normal 5" xfId="126"/>
    <cellStyle name="Normal 5 2" xfId="127"/>
    <cellStyle name="Normal 5 3" xfId="22"/>
    <cellStyle name="Normal 6" xfId="23"/>
    <cellStyle name="Normal 6 2" xfId="24"/>
    <cellStyle name="Normal 6 2 2" xfId="128"/>
    <cellStyle name="Normal 6 3" xfId="199"/>
    <cellStyle name="Normal 7" xfId="129"/>
    <cellStyle name="Normal 7 2" xfId="200"/>
    <cellStyle name="Normal 8" xfId="130"/>
    <cellStyle name="Normal 9" xfId="131"/>
    <cellStyle name="Normal 9 2" xfId="132"/>
    <cellStyle name="Normal_balance y estado de resultados clasificado al 31 de Diciembre 2013" xfId="153"/>
    <cellStyle name="Normal_Copia de Flujo Caja tarea grupo labarrera" xfId="4"/>
    <cellStyle name="Normal_Libro2" xfId="25"/>
    <cellStyle name="Normal_Modelo de Información  2010 Final al 05.02.2010" xfId="220"/>
    <cellStyle name="Nota" xfId="133"/>
    <cellStyle name="Nota 2" xfId="134"/>
    <cellStyle name="Notas 2" xfId="135"/>
    <cellStyle name="Notas 3" xfId="201"/>
    <cellStyle name="Porcentaje" xfId="211" builtinId="5"/>
    <cellStyle name="Porcentaje 2" xfId="27"/>
    <cellStyle name="Porcentaje 2 2" xfId="136"/>
    <cellStyle name="Porcentaje 2 3" xfId="137"/>
    <cellStyle name="Porcentaje 3" xfId="138"/>
    <cellStyle name="Porcentaje 3 2" xfId="139"/>
    <cellStyle name="Porcentaje 4" xfId="219"/>
    <cellStyle name="Porcentual 2" xfId="140"/>
    <cellStyle name="Porcentual 2 2" xfId="141"/>
    <cellStyle name="Porcentual 2 2 2" xfId="142"/>
    <cellStyle name="Porcentual 2 3" xfId="143"/>
    <cellStyle name="Porcentual 2 3 2" xfId="144"/>
    <cellStyle name="Salida 2" xfId="145"/>
    <cellStyle name="Salida 3" xfId="202"/>
    <cellStyle name="Texto de advertencia 2" xfId="146"/>
    <cellStyle name="Texto de advertencia 3" xfId="203"/>
    <cellStyle name="Texto explicativo 2" xfId="147"/>
    <cellStyle name="Texto explicativo 3" xfId="204"/>
    <cellStyle name="Título 1 2" xfId="205"/>
    <cellStyle name="Título 2 2" xfId="148"/>
    <cellStyle name="Título 2 3" xfId="206"/>
    <cellStyle name="Título 3 2" xfId="149"/>
    <cellStyle name="Título 3 3" xfId="207"/>
    <cellStyle name="Título 4" xfId="150"/>
    <cellStyle name="Título 5" xfId="208"/>
    <cellStyle name="Total 2" xfId="151"/>
    <cellStyle name="Total 3" xfId="209"/>
  </cellStyles>
  <dxfs count="1"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33" Type="http://schemas.openxmlformats.org/officeDocument/2006/relationships/externalLink" Target="externalLinks/externalLink10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externalLink" Target="externalLinks/externalLink9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36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externalLink" Target="externalLinks/externalLink7.xml"/><Relationship Id="rId35" Type="http://schemas.openxmlformats.org/officeDocument/2006/relationships/externalLink" Target="externalLinks/externalLink1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222885</xdr:colOff>
      <xdr:row>0</xdr:row>
      <xdr:rowOff>47625</xdr:rowOff>
    </xdr:from>
    <xdr:to>
      <xdr:col>11</xdr:col>
      <xdr:colOff>146685</xdr:colOff>
      <xdr:row>3</xdr:row>
      <xdr:rowOff>133350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3270885" y="47625"/>
          <a:ext cx="7296150" cy="685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900"/>
            </a:lnSpc>
            <a:defRPr sz="1000"/>
          </a:pPr>
          <a:r>
            <a:rPr lang="es-CL" sz="1000" b="1" i="0" u="none" strike="noStrike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Declaración Jurada Anual sobre Balance de 8 Columnas</a:t>
          </a:r>
        </a:p>
        <a:p>
          <a:pPr algn="l" rtl="0">
            <a:lnSpc>
              <a:spcPts val="900"/>
            </a:lnSpc>
            <a:defRPr sz="1000"/>
          </a:pPr>
          <a:r>
            <a:rPr lang="es-CL" sz="10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                                       </a:t>
          </a:r>
          <a:r>
            <a:rPr lang="es-CL" sz="8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AÑO TRIBUTARIO 201_</a:t>
          </a:r>
        </a:p>
      </xdr:txBody>
    </xdr:sp>
    <xdr:clientData/>
  </xdr:twoCellAnchor>
  <xdr:twoCellAnchor>
    <xdr:from>
      <xdr:col>11</xdr:col>
      <xdr:colOff>171450</xdr:colOff>
      <xdr:row>0</xdr:row>
      <xdr:rowOff>118110</xdr:rowOff>
    </xdr:from>
    <xdr:to>
      <xdr:col>11</xdr:col>
      <xdr:colOff>739528</xdr:colOff>
      <xdr:row>2</xdr:row>
      <xdr:rowOff>29265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10591800" y="118110"/>
          <a:ext cx="568078" cy="31120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CL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F  1847</a:t>
          </a:r>
        </a:p>
      </xdr:txBody>
    </xdr:sp>
    <xdr:clientData/>
  </xdr:twoCellAnchor>
  <xdr:twoCellAnchor>
    <xdr:from>
      <xdr:col>10</xdr:col>
      <xdr:colOff>470535</xdr:colOff>
      <xdr:row>1</xdr:row>
      <xdr:rowOff>104775</xdr:rowOff>
    </xdr:from>
    <xdr:to>
      <xdr:col>11</xdr:col>
      <xdr:colOff>161773</xdr:colOff>
      <xdr:row>2</xdr:row>
      <xdr:rowOff>118900</xdr:rowOff>
    </xdr:to>
    <xdr:sp macro="" textlink="">
      <xdr:nvSpPr>
        <xdr:cNvPr id="4" name="Rectangle 4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SpPr>
          <a:spLocks noChangeArrowheads="1"/>
        </xdr:cNvSpPr>
      </xdr:nvSpPr>
      <xdr:spPr bwMode="auto">
        <a:xfrm>
          <a:off x="10100310" y="304800"/>
          <a:ext cx="481813" cy="2141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36000" rIns="91440" bIns="0" anchor="t" upright="1"/>
        <a:lstStyle/>
        <a:p>
          <a:pPr algn="l" rtl="0">
            <a:defRPr sz="1000"/>
          </a:pPr>
          <a:r>
            <a:rPr lang="es-CL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FOLIO</a:t>
          </a:r>
        </a:p>
      </xdr:txBody>
    </xdr:sp>
    <xdr:clientData/>
  </xdr:twoCellAnchor>
  <xdr:twoCellAnchor>
    <xdr:from>
      <xdr:col>11</xdr:col>
      <xdr:colOff>247650</xdr:colOff>
      <xdr:row>1</xdr:row>
      <xdr:rowOff>118110</xdr:rowOff>
    </xdr:from>
    <xdr:to>
      <xdr:col>11</xdr:col>
      <xdr:colOff>701522</xdr:colOff>
      <xdr:row>2</xdr:row>
      <xdr:rowOff>77261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SpPr txBox="1">
          <a:spLocks noChangeArrowheads="1"/>
        </xdr:cNvSpPr>
      </xdr:nvSpPr>
      <xdr:spPr bwMode="auto">
        <a:xfrm>
          <a:off x="10668000" y="318135"/>
          <a:ext cx="453872" cy="15917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CL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</xdr:col>
      <xdr:colOff>13415</xdr:colOff>
      <xdr:row>6</xdr:row>
      <xdr:rowOff>147570</xdr:rowOff>
    </xdr:from>
    <xdr:to>
      <xdr:col>9</xdr:col>
      <xdr:colOff>13415</xdr:colOff>
      <xdr:row>12</xdr:row>
      <xdr:rowOff>174400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xmlns="" id="{00000000-0008-0000-0800-000006000000}"/>
            </a:ext>
          </a:extLst>
        </xdr:cNvPr>
        <xdr:cNvSpPr/>
      </xdr:nvSpPr>
      <xdr:spPr>
        <a:xfrm>
          <a:off x="775415" y="1347720"/>
          <a:ext cx="8077200" cy="122698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es-CL"/>
        </a:p>
      </xdr:txBody>
    </xdr:sp>
    <xdr:clientData/>
  </xdr:twoCellAnchor>
  <xdr:twoCellAnchor editAs="oneCell">
    <xdr:from>
      <xdr:col>0</xdr:col>
      <xdr:colOff>333375</xdr:colOff>
      <xdr:row>0</xdr:row>
      <xdr:rowOff>0</xdr:rowOff>
    </xdr:from>
    <xdr:to>
      <xdr:col>3</xdr:col>
      <xdr:colOff>0</xdr:colOff>
      <xdr:row>2</xdr:row>
      <xdr:rowOff>95250</xdr:rowOff>
    </xdr:to>
    <xdr:pic>
      <xdr:nvPicPr>
        <xdr:cNvPr id="7" name="Picture 7" descr="C:\Documents and Settings\monica.ampuero\Escritorio\logo_internet.jpg">
          <a:extLst>
            <a:ext uri="{FF2B5EF4-FFF2-40B4-BE49-F238E27FC236}">
              <a16:creationId xmlns:a16="http://schemas.microsoft.com/office/drawing/2014/main" xmlns="" id="{00000000-0008-0000-08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0"/>
          <a:ext cx="19526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222885</xdr:colOff>
      <xdr:row>0</xdr:row>
      <xdr:rowOff>47625</xdr:rowOff>
    </xdr:from>
    <xdr:to>
      <xdr:col>11</xdr:col>
      <xdr:colOff>146685</xdr:colOff>
      <xdr:row>3</xdr:row>
      <xdr:rowOff>133350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3270885" y="47625"/>
          <a:ext cx="7296150" cy="685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900"/>
            </a:lnSpc>
            <a:defRPr sz="1000"/>
          </a:pPr>
          <a:r>
            <a:rPr lang="es-CL" sz="1000" b="1" i="0" u="none" strike="noStrike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Declaración Jurada Anual sobre Balance de 8 Columnas</a:t>
          </a:r>
        </a:p>
        <a:p>
          <a:pPr algn="l" rtl="0">
            <a:lnSpc>
              <a:spcPts val="900"/>
            </a:lnSpc>
            <a:defRPr sz="1000"/>
          </a:pPr>
          <a:r>
            <a:rPr lang="es-CL" sz="10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                                       </a:t>
          </a:r>
          <a:r>
            <a:rPr lang="es-CL" sz="8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AÑO TRIBUTARIO 201_</a:t>
          </a:r>
        </a:p>
      </xdr:txBody>
    </xdr:sp>
    <xdr:clientData/>
  </xdr:twoCellAnchor>
  <xdr:twoCellAnchor>
    <xdr:from>
      <xdr:col>11</xdr:col>
      <xdr:colOff>171450</xdr:colOff>
      <xdr:row>0</xdr:row>
      <xdr:rowOff>118110</xdr:rowOff>
    </xdr:from>
    <xdr:to>
      <xdr:col>11</xdr:col>
      <xdr:colOff>739528</xdr:colOff>
      <xdr:row>2</xdr:row>
      <xdr:rowOff>29265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10591800" y="118110"/>
          <a:ext cx="568078" cy="31120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CL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F  1847</a:t>
          </a:r>
        </a:p>
      </xdr:txBody>
    </xdr:sp>
    <xdr:clientData/>
  </xdr:twoCellAnchor>
  <xdr:twoCellAnchor>
    <xdr:from>
      <xdr:col>10</xdr:col>
      <xdr:colOff>470535</xdr:colOff>
      <xdr:row>1</xdr:row>
      <xdr:rowOff>104775</xdr:rowOff>
    </xdr:from>
    <xdr:to>
      <xdr:col>11</xdr:col>
      <xdr:colOff>161773</xdr:colOff>
      <xdr:row>2</xdr:row>
      <xdr:rowOff>118900</xdr:rowOff>
    </xdr:to>
    <xdr:sp macro="" textlink="">
      <xdr:nvSpPr>
        <xdr:cNvPr id="4" name="Rectangle 4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SpPr>
          <a:spLocks noChangeArrowheads="1"/>
        </xdr:cNvSpPr>
      </xdr:nvSpPr>
      <xdr:spPr bwMode="auto">
        <a:xfrm>
          <a:off x="10100310" y="304800"/>
          <a:ext cx="481813" cy="2141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36000" rIns="91440" bIns="0" anchor="t" upright="1"/>
        <a:lstStyle/>
        <a:p>
          <a:pPr algn="l" rtl="0">
            <a:defRPr sz="1000"/>
          </a:pPr>
          <a:r>
            <a:rPr lang="es-CL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FOLIO</a:t>
          </a:r>
        </a:p>
      </xdr:txBody>
    </xdr:sp>
    <xdr:clientData/>
  </xdr:twoCellAnchor>
  <xdr:twoCellAnchor>
    <xdr:from>
      <xdr:col>11</xdr:col>
      <xdr:colOff>247650</xdr:colOff>
      <xdr:row>1</xdr:row>
      <xdr:rowOff>118110</xdr:rowOff>
    </xdr:from>
    <xdr:to>
      <xdr:col>11</xdr:col>
      <xdr:colOff>701522</xdr:colOff>
      <xdr:row>2</xdr:row>
      <xdr:rowOff>77261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SpPr txBox="1">
          <a:spLocks noChangeArrowheads="1"/>
        </xdr:cNvSpPr>
      </xdr:nvSpPr>
      <xdr:spPr bwMode="auto">
        <a:xfrm>
          <a:off x="10668000" y="318135"/>
          <a:ext cx="453872" cy="15917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CL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</xdr:col>
      <xdr:colOff>13415</xdr:colOff>
      <xdr:row>6</xdr:row>
      <xdr:rowOff>147570</xdr:rowOff>
    </xdr:from>
    <xdr:to>
      <xdr:col>9</xdr:col>
      <xdr:colOff>13415</xdr:colOff>
      <xdr:row>12</xdr:row>
      <xdr:rowOff>174400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xmlns="" id="{00000000-0008-0000-0800-000006000000}"/>
            </a:ext>
          </a:extLst>
        </xdr:cNvPr>
        <xdr:cNvSpPr/>
      </xdr:nvSpPr>
      <xdr:spPr>
        <a:xfrm>
          <a:off x="775415" y="1347720"/>
          <a:ext cx="8077200" cy="122698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es-CL"/>
        </a:p>
      </xdr:txBody>
    </xdr:sp>
    <xdr:clientData/>
  </xdr:twoCellAnchor>
  <xdr:twoCellAnchor editAs="oneCell">
    <xdr:from>
      <xdr:col>0</xdr:col>
      <xdr:colOff>333375</xdr:colOff>
      <xdr:row>0</xdr:row>
      <xdr:rowOff>0</xdr:rowOff>
    </xdr:from>
    <xdr:to>
      <xdr:col>3</xdr:col>
      <xdr:colOff>0</xdr:colOff>
      <xdr:row>2</xdr:row>
      <xdr:rowOff>95250</xdr:rowOff>
    </xdr:to>
    <xdr:pic>
      <xdr:nvPicPr>
        <xdr:cNvPr id="7" name="Picture 7" descr="C:\Documents and Settings\monica.ampuero\Escritorio\logo_internet.jpg">
          <a:extLst>
            <a:ext uri="{FF2B5EF4-FFF2-40B4-BE49-F238E27FC236}">
              <a16:creationId xmlns:a16="http://schemas.microsoft.com/office/drawing/2014/main" xmlns="" id="{00000000-0008-0000-08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0"/>
          <a:ext cx="19526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NTNG\BLOC\FCST2002\FRCT0207\08LDV\LDV0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hilesii-my.sharepoint.com/TEMP/Archivos%20temporales%20de%20Internet/Content.Outlook/Q2W04AWC/F22%20%202017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Activo%20fijo%20al%2031-12-2006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7122%20Movimiento%20patrimonial%2031.12.02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traspaso%20pendrive%2021032023/CURSOS%20Y%20SEMINARIOS%202023/CPCICHILE%202023/TALLER%2014%20A/EJERCICIO%20N&#176;%204%2014%20A%202403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F53414\esp2\WINNT\temp\g4943\kontenvorschlag%20bilanz%20und%20guv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NDREA~1.WIN\LOCALS~1\Temp\Annual%20Rep.2002-11-21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PROYECCION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diles\Downloads\PEP\1%20PEP\Presupuesto-detallado-largometraje-2016-T&#218;NEL49%20(US$2M)%20(18032016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LRAMIRE\Capacitacion\Mis%20Documentos\apuntes\Control%20del%20Activo%20Fij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edro\Documents\CLIENTES\Oxynet\Contabilidad\Balances\An&#225;lisis%20Pago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rchivos%20temporales%20de%20Internet\Content.Outlook\Q2W04AWC\F22%20%20201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Archivos%20temporales%20de%20Internet\Content.Outlook\Q2W04AWC\F22%20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ll Year Frst"/>
      <sheetName val="1st half Frcts"/>
      <sheetName val="1st Quarter"/>
      <sheetName val="Jan to May02"/>
      <sheetName val="JUNE02"/>
      <sheetName val="Prdn ldv"/>
      <sheetName val="Gml ldv"/>
      <sheetName val="Gx ldv"/>
      <sheetName val="Gr ldv"/>
      <sheetName val="Mx ldv"/>
      <sheetName val="Leana"/>
      <sheetName val="Sao BZ"/>
      <sheetName val="Stg CE"/>
      <sheetName val="Mx MC"/>
      <sheetName val="Andean Ga"/>
      <sheetName val="Itosola"/>
      <sheetName val="Xe ldv"/>
      <sheetName val="Xl"/>
      <sheetName val="Xb ldv"/>
      <sheetName val="Xc ldv"/>
      <sheetName val="Mx M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"/>
      <sheetName val="Dep ejercicio"/>
      <sheetName val="Dep acumulada"/>
      <sheetName val="Activo fijo (PPC)"/>
      <sheetName val="Dep Acum (PPC)"/>
      <sheetName val="Dep ejerc (PPC)"/>
      <sheetName val="XREF"/>
      <sheetName val="Tickmarks"/>
      <sheetName val="Inversiones"/>
      <sheetName val="2003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.12.02"/>
      <sheetName val="XREF"/>
      <sheetName val="Tickmarks"/>
      <sheetName val="Movimiento"/>
      <sheetName val="Dep ejercicio"/>
      <sheetName val="Dep acumulad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 FIJO"/>
      <sheetName val="BALANCE 2021"/>
      <sheetName val="RLI AT 2022"/>
      <sheetName val="ddjj1847 AT2022"/>
      <sheetName val="R14 AT2022"/>
      <sheetName val="R13  AT2022"/>
      <sheetName val="RTRE AT 2022"/>
      <sheetName val="BALANCE 2022"/>
      <sheetName val="GTO RECHAZADO AT 2023"/>
      <sheetName val="RLI AT 2023"/>
      <sheetName val="ddjj1847 AT2023"/>
      <sheetName val="R14 AT2023"/>
      <sheetName val="R13  AT2023"/>
      <sheetName val="RTRE AT 2023"/>
      <sheetName val="ANEXO N°1 (DDJJ 1926)"/>
      <sheetName val="ANEXO N°1 (DDJJ 1847)"/>
    </sheetNames>
    <sheetDataSet>
      <sheetData sheetId="0">
        <row r="20">
          <cell r="L20">
            <v>0</v>
          </cell>
        </row>
      </sheetData>
      <sheetData sheetId="1"/>
      <sheetData sheetId="2">
        <row r="69">
          <cell r="E69">
            <v>0</v>
          </cell>
        </row>
      </sheetData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tenvorschlag bilanz und guv"/>
      <sheetName val="7_6"/>
      <sheetName val="CM"/>
      <sheetName val="3100"/>
      <sheetName val="BASE"/>
      <sheetName val="Condicable"/>
      <sheetName val="ACT Fijo Tributario"/>
      <sheetName val="Calc"/>
      <sheetName val="GoEight"/>
      <sheetName val="GrFour"/>
      <sheetName val="MOne"/>
      <sheetName val="MTwo"/>
      <sheetName val="KOne"/>
      <sheetName val="GoSeven"/>
      <sheetName val="GrThree"/>
      <sheetName val="HTwo"/>
      <sheetName val="JOne"/>
      <sheetName val="JTwo"/>
      <sheetName val="HOne"/>
      <sheetName val="prod99"/>
      <sheetName val="A"/>
      <sheetName val="GASTOS OPERACIONALES"/>
      <sheetName val="Dep 1220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"/>
      <sheetName val="Exh1_1"/>
      <sheetName val="Exh1_2"/>
      <sheetName val="Exh1_3"/>
      <sheetName val="Exh1_4"/>
      <sheetName val="Exh1_5"/>
      <sheetName val="Exh1_6"/>
      <sheetName val="Exh1_7"/>
      <sheetName val="Exh2_1"/>
      <sheetName val="Exh3"/>
      <sheetName val="Exh3_1"/>
      <sheetName val="Exh4_1"/>
      <sheetName val="Exh4_2"/>
      <sheetName val="Exh5_1"/>
      <sheetName val="Exh5_2"/>
      <sheetName val="Exh6_1"/>
      <sheetName val="Exh6_2"/>
      <sheetName val="Exh7_1"/>
      <sheetName val="Exh7_2"/>
      <sheetName val="Exh7_3"/>
      <sheetName val="Exh7_3_1"/>
      <sheetName val="Exh7_4"/>
      <sheetName val="Exh7_5"/>
      <sheetName val="Exh7_6"/>
      <sheetName val="Exh7_6_1"/>
      <sheetName val="Exh7_7"/>
      <sheetName val="Exh7_8"/>
      <sheetName val="Exh7_9_1"/>
      <sheetName val="Exh7_9_2"/>
      <sheetName val="Exh7_10"/>
      <sheetName val="Exh8_1"/>
      <sheetName val="Exh8_2"/>
      <sheetName val="Exh8_2_(1)"/>
      <sheetName val="Exh8_3"/>
      <sheetName val="Exh8_4"/>
      <sheetName val="Exh8_5"/>
      <sheetName val="Exh8_6"/>
      <sheetName val="Exh8_7"/>
      <sheetName val="Exh8_8"/>
      <sheetName val="Exh9 "/>
      <sheetName val="Exh10_1"/>
      <sheetName val="Exh10_2"/>
      <sheetName val="XXXX"/>
      <sheetName val="Exh4_1 (NP2 und Budget)"/>
      <sheetName val="Exh3_2"/>
      <sheetName val="Exh4_1 (HARPR CD OE CM)"/>
      <sheetName val="Exh4_1 (HARPR CD OE CM AE ES)"/>
      <sheetName val="Exh4_1 (HARPR ohne TP WP TR OH)"/>
      <sheetName val="Exh4_1 (NL ohne Haiger)"/>
      <sheetName val="Exh4_1 (SPED - LUFT_SEE+GP)"/>
      <sheetName val="Exh4_1 (LUFT_SEE)"/>
      <sheetName val="Exh4_1 (LOGISTIK)"/>
      <sheetName val="Exh4_1 (SPED - LUFT_SEE)"/>
      <sheetName val="Exh4_1 (nur CC-Bereich)"/>
      <sheetName val="exh5_1(FORMEL)"/>
      <sheetName val="Exh9_1"/>
      <sheetName val="Exh11_1"/>
      <sheetName val="Exh12_1"/>
      <sheetName val="Exh4_1 (Basis für 12_2)"/>
      <sheetName val="Exh12_2"/>
      <sheetName val="Exh12_3"/>
      <sheetName val="Exh13_1"/>
      <sheetName val="Komment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os00"/>
      <sheetName val="IPC"/>
      <sheetName val="ufmen"/>
      <sheetName val="UF"/>
      <sheetName val="U$men"/>
      <sheetName val="dolar"/>
      <sheetName val="PROYECC"/>
      <sheetName val="PRESENT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laraciones formulario"/>
      <sheetName val="Presupuesto"/>
      <sheetName val="definiciones"/>
    </sheetNames>
    <sheetDataSet>
      <sheetData sheetId="0"/>
      <sheetData sheetId="1"/>
      <sheetData sheetId="2">
        <row r="1">
          <cell r="G1" t="str">
            <v>cargo</v>
          </cell>
        </row>
        <row r="2">
          <cell r="B2" t="str">
            <v>(Color)</v>
          </cell>
          <cell r="D2" t="str">
            <v>8 mm</v>
          </cell>
          <cell r="E2" t="str">
            <v>Si</v>
          </cell>
          <cell r="F2" t="str">
            <v>Original</v>
          </cell>
          <cell r="G2" t="str">
            <v>Reemplace este texto por el nombre de la actividad/cargo</v>
          </cell>
          <cell r="H2" t="str">
            <v>(seleccione unidad de medida)</v>
          </cell>
          <cell r="I2" t="str">
            <v>¿Meses o días?</v>
          </cell>
        </row>
        <row r="3">
          <cell r="B3" t="str">
            <v>(Blanco y negro)</v>
          </cell>
          <cell r="C3" t="str">
            <v>Argentina</v>
          </cell>
          <cell r="D3" t="str">
            <v>16 mm</v>
          </cell>
          <cell r="E3" t="str">
            <v>No</v>
          </cell>
          <cell r="F3" t="str">
            <v>Adaptación</v>
          </cell>
          <cell r="H3" t="str">
            <v>mes(es)</v>
          </cell>
          <cell r="I3" t="str">
            <v>día(s)</v>
          </cell>
        </row>
        <row r="4">
          <cell r="C4" t="str">
            <v>Brasil</v>
          </cell>
          <cell r="D4" t="str">
            <v>35 mm</v>
          </cell>
          <cell r="G4" t="str">
            <v xml:space="preserve">*Recuerda que en la plataforma de postulación </v>
          </cell>
          <cell r="H4" t="str">
            <v>persona(s)</v>
          </cell>
          <cell r="I4" t="str">
            <v>mes(es)</v>
          </cell>
        </row>
        <row r="5">
          <cell r="C5" t="str">
            <v>Canadá</v>
          </cell>
          <cell r="D5" t="str">
            <v>Digital</v>
          </cell>
          <cell r="G5" t="str">
            <v xml:space="preserve">la asignación del responsable (cuando es persona natural) </v>
          </cell>
          <cell r="H5" t="str">
            <v>unidad(es)</v>
          </cell>
        </row>
        <row r="6">
          <cell r="C6" t="str">
            <v>Francia</v>
          </cell>
          <cell r="G6" t="str">
            <v xml:space="preserve">no puede incluirse entre los honorarios. </v>
          </cell>
        </row>
        <row r="7">
          <cell r="C7" t="str">
            <v>Italia</v>
          </cell>
          <cell r="G7" t="str">
            <v xml:space="preserve">Por eso, también en el presupuesto detallado </v>
          </cell>
        </row>
        <row r="8">
          <cell r="C8" t="str">
            <v>Venezuela</v>
          </cell>
          <cell r="G8" t="str">
            <v>debe ser contabilizada entre los "Gastos de Operación".</v>
          </cell>
        </row>
        <row r="9">
          <cell r="C9" t="str">
            <v>------------------</v>
          </cell>
        </row>
        <row r="10">
          <cell r="C10" t="str">
            <v>Afganistán</v>
          </cell>
          <cell r="G10" t="str">
            <v>Algunos cargos sugeridos:</v>
          </cell>
        </row>
        <row r="11">
          <cell r="C11" t="str">
            <v>Akrotiri </v>
          </cell>
        </row>
        <row r="12">
          <cell r="C12" t="str">
            <v>Albania </v>
          </cell>
          <cell r="G12" t="str">
            <v>Productor ejecutivo</v>
          </cell>
        </row>
        <row r="13">
          <cell r="C13" t="str">
            <v>Alemania </v>
          </cell>
          <cell r="G13" t="str">
            <v>Productor general</v>
          </cell>
        </row>
        <row r="14">
          <cell r="C14" t="str">
            <v>Andorra </v>
          </cell>
          <cell r="G14" t="str">
            <v>Equipo de Producción</v>
          </cell>
        </row>
        <row r="15">
          <cell r="C15" t="str">
            <v>Angola </v>
          </cell>
        </row>
        <row r="16">
          <cell r="C16" t="str">
            <v>Anguila </v>
          </cell>
          <cell r="G16" t="str">
            <v>Director</v>
          </cell>
        </row>
        <row r="17">
          <cell r="C17" t="str">
            <v>Antártida </v>
          </cell>
          <cell r="G17" t="str">
            <v>Guionista</v>
          </cell>
        </row>
        <row r="18">
          <cell r="C18" t="str">
            <v>Antigua y Barbuda </v>
          </cell>
          <cell r="G18" t="str">
            <v>Equipo de dirección</v>
          </cell>
        </row>
        <row r="19">
          <cell r="C19" t="str">
            <v>Antillas Neerlandesas </v>
          </cell>
        </row>
        <row r="20">
          <cell r="C20" t="str">
            <v>Arabia Saudí </v>
          </cell>
          <cell r="G20" t="str">
            <v>Director de Fotografía</v>
          </cell>
        </row>
        <row r="21">
          <cell r="C21" t="str">
            <v>Argelia </v>
          </cell>
          <cell r="G21" t="str">
            <v>Equipo de Fotografía</v>
          </cell>
        </row>
        <row r="22">
          <cell r="C22" t="str">
            <v>Argentina </v>
          </cell>
        </row>
        <row r="23">
          <cell r="C23" t="str">
            <v>Armenia </v>
          </cell>
          <cell r="G23" t="str">
            <v>Director de Arte</v>
          </cell>
        </row>
        <row r="24">
          <cell r="C24" t="str">
            <v>Aruba </v>
          </cell>
          <cell r="G24" t="str">
            <v>Equipo de arte</v>
          </cell>
        </row>
        <row r="25">
          <cell r="C25" t="str">
            <v>Ashmore and Cartier Islands </v>
          </cell>
        </row>
        <row r="26">
          <cell r="C26" t="str">
            <v>Australia </v>
          </cell>
          <cell r="G26" t="str">
            <v>Director de sonido</v>
          </cell>
        </row>
        <row r="27">
          <cell r="C27" t="str">
            <v>Austria </v>
          </cell>
          <cell r="G27" t="str">
            <v>Equipo de sonido</v>
          </cell>
        </row>
        <row r="28">
          <cell r="C28" t="str">
            <v>Azerbaiyán </v>
          </cell>
        </row>
        <row r="29">
          <cell r="C29" t="str">
            <v>Bahamas </v>
          </cell>
          <cell r="G29" t="str">
            <v>Montajista/editor</v>
          </cell>
        </row>
        <row r="30">
          <cell r="C30" t="str">
            <v>Bahráin </v>
          </cell>
          <cell r="G30" t="str">
            <v>Equipo de Montaje</v>
          </cell>
        </row>
        <row r="31">
          <cell r="C31" t="str">
            <v>Bangladesh </v>
          </cell>
        </row>
        <row r="32">
          <cell r="C32" t="str">
            <v>Barbados </v>
          </cell>
          <cell r="G32" t="str">
            <v>Actor/actriz principal</v>
          </cell>
        </row>
        <row r="33">
          <cell r="C33" t="str">
            <v>Bélgica </v>
          </cell>
          <cell r="G33" t="str">
            <v>Equipo artístico</v>
          </cell>
        </row>
        <row r="34">
          <cell r="C34" t="str">
            <v>Belice </v>
          </cell>
        </row>
        <row r="35">
          <cell r="C35" t="str">
            <v>Benín </v>
          </cell>
          <cell r="G35" t="str">
            <v>Otro (reemplazar texto)</v>
          </cell>
        </row>
        <row r="36">
          <cell r="C36" t="str">
            <v>Bermudas </v>
          </cell>
        </row>
        <row r="37">
          <cell r="C37" t="str">
            <v>Bielorrusia </v>
          </cell>
        </row>
        <row r="38">
          <cell r="C38" t="str">
            <v>Birmania Myanmar </v>
          </cell>
        </row>
        <row r="39">
          <cell r="C39" t="str">
            <v>Bolivia </v>
          </cell>
        </row>
        <row r="40">
          <cell r="C40" t="str">
            <v>Bosnia y Hercegovina </v>
          </cell>
        </row>
        <row r="41">
          <cell r="C41" t="str">
            <v>Botsuana </v>
          </cell>
        </row>
        <row r="42">
          <cell r="C42" t="str">
            <v>Brasil </v>
          </cell>
        </row>
        <row r="43">
          <cell r="C43" t="str">
            <v>Brunéi </v>
          </cell>
        </row>
        <row r="44">
          <cell r="C44" t="str">
            <v>Bulgaria </v>
          </cell>
        </row>
        <row r="45">
          <cell r="C45" t="str">
            <v>Burkina Faso </v>
          </cell>
        </row>
        <row r="46">
          <cell r="C46" t="str">
            <v>Burundi </v>
          </cell>
        </row>
        <row r="47">
          <cell r="C47" t="str">
            <v>Bután </v>
          </cell>
        </row>
        <row r="48">
          <cell r="C48" t="str">
            <v>Cabo Verde </v>
          </cell>
        </row>
        <row r="49">
          <cell r="C49" t="str">
            <v>Camboya </v>
          </cell>
        </row>
        <row r="50">
          <cell r="C50" t="str">
            <v>Camerún </v>
          </cell>
        </row>
        <row r="51">
          <cell r="C51" t="str">
            <v>Canadá </v>
          </cell>
        </row>
        <row r="52">
          <cell r="C52" t="str">
            <v>Chad </v>
          </cell>
        </row>
        <row r="53">
          <cell r="C53" t="str">
            <v>Chile </v>
          </cell>
        </row>
        <row r="54">
          <cell r="C54" t="str">
            <v>China </v>
          </cell>
        </row>
        <row r="55">
          <cell r="C55" t="str">
            <v>Chipre </v>
          </cell>
        </row>
        <row r="56">
          <cell r="C56" t="str">
            <v>Clipperton Island </v>
          </cell>
        </row>
        <row r="57">
          <cell r="C57" t="str">
            <v>Colombia </v>
          </cell>
        </row>
        <row r="58">
          <cell r="C58" t="str">
            <v>Comoras </v>
          </cell>
        </row>
        <row r="59">
          <cell r="C59" t="str">
            <v>Congo </v>
          </cell>
        </row>
        <row r="60">
          <cell r="C60" t="str">
            <v>Coral Sea Islands </v>
          </cell>
        </row>
        <row r="61">
          <cell r="C61" t="str">
            <v>Corea del Norte </v>
          </cell>
        </row>
        <row r="62">
          <cell r="C62" t="str">
            <v>Corea del Sur </v>
          </cell>
        </row>
        <row r="63">
          <cell r="C63" t="str">
            <v>Costa de Marfil </v>
          </cell>
        </row>
        <row r="64">
          <cell r="C64" t="str">
            <v>Costa Rica </v>
          </cell>
        </row>
        <row r="65">
          <cell r="C65" t="str">
            <v>Croacia </v>
          </cell>
        </row>
        <row r="66">
          <cell r="C66" t="str">
            <v>Cuba </v>
          </cell>
        </row>
        <row r="67">
          <cell r="C67" t="str">
            <v>Dhekelia </v>
          </cell>
        </row>
        <row r="68">
          <cell r="C68" t="str">
            <v>Dinamarca </v>
          </cell>
        </row>
        <row r="69">
          <cell r="C69" t="str">
            <v>Dominica </v>
          </cell>
        </row>
        <row r="70">
          <cell r="C70" t="str">
            <v>Ecuador </v>
          </cell>
        </row>
        <row r="71">
          <cell r="C71" t="str">
            <v>Egipto </v>
          </cell>
        </row>
        <row r="72">
          <cell r="C72" t="str">
            <v>El Salvador </v>
          </cell>
        </row>
        <row r="73">
          <cell r="C73" t="str">
            <v>El Vaticano </v>
          </cell>
        </row>
        <row r="74">
          <cell r="C74" t="str">
            <v>Emiratos Árabes Unidos </v>
          </cell>
        </row>
        <row r="75">
          <cell r="C75" t="str">
            <v>Eritrea </v>
          </cell>
        </row>
        <row r="76">
          <cell r="C76" t="str">
            <v>Eslovaquia </v>
          </cell>
        </row>
        <row r="77">
          <cell r="C77" t="str">
            <v>Eslovenia </v>
          </cell>
        </row>
        <row r="78">
          <cell r="C78" t="str">
            <v>España </v>
          </cell>
        </row>
        <row r="79">
          <cell r="C79" t="str">
            <v>Estados Unidos </v>
          </cell>
        </row>
        <row r="80">
          <cell r="C80" t="str">
            <v>Estonia </v>
          </cell>
        </row>
        <row r="81">
          <cell r="C81" t="str">
            <v>Etiopía </v>
          </cell>
        </row>
        <row r="82">
          <cell r="C82" t="str">
            <v>Filipinas </v>
          </cell>
        </row>
        <row r="83">
          <cell r="C83" t="str">
            <v>Finlandia </v>
          </cell>
        </row>
        <row r="84">
          <cell r="C84" t="str">
            <v>Fiyi </v>
          </cell>
        </row>
        <row r="85">
          <cell r="C85" t="str">
            <v>Francia </v>
          </cell>
        </row>
        <row r="86">
          <cell r="C86" t="str">
            <v>Gabón </v>
          </cell>
        </row>
        <row r="87">
          <cell r="C87" t="str">
            <v>Gambia </v>
          </cell>
        </row>
        <row r="88">
          <cell r="C88" t="str">
            <v>Gaza Strip </v>
          </cell>
        </row>
        <row r="89">
          <cell r="C89" t="str">
            <v>Georgia </v>
          </cell>
        </row>
        <row r="90">
          <cell r="C90" t="str">
            <v>Ghana </v>
          </cell>
        </row>
        <row r="91">
          <cell r="C91" t="str">
            <v>Gibraltar </v>
          </cell>
        </row>
        <row r="92">
          <cell r="C92" t="str">
            <v>Granada </v>
          </cell>
        </row>
        <row r="93">
          <cell r="C93" t="str">
            <v>Grecia </v>
          </cell>
        </row>
        <row r="94">
          <cell r="C94" t="str">
            <v>Groenlandia </v>
          </cell>
        </row>
        <row r="95">
          <cell r="C95" t="str">
            <v>Guam </v>
          </cell>
        </row>
        <row r="96">
          <cell r="C96" t="str">
            <v>Guatemala </v>
          </cell>
        </row>
        <row r="97">
          <cell r="C97" t="str">
            <v>Guernsey </v>
          </cell>
        </row>
        <row r="98">
          <cell r="C98" t="str">
            <v>Guinea </v>
          </cell>
        </row>
        <row r="99">
          <cell r="C99" t="str">
            <v>Guinea Ecuatorial </v>
          </cell>
        </row>
        <row r="100">
          <cell r="C100" t="str">
            <v>Guinea-Bissau </v>
          </cell>
        </row>
        <row r="101">
          <cell r="C101" t="str">
            <v>Guyana </v>
          </cell>
        </row>
        <row r="102">
          <cell r="C102" t="str">
            <v>Haití </v>
          </cell>
        </row>
        <row r="103">
          <cell r="C103" t="str">
            <v>Honduras </v>
          </cell>
        </row>
        <row r="104">
          <cell r="C104" t="str">
            <v>Hong Kong </v>
          </cell>
        </row>
        <row r="105">
          <cell r="C105" t="str">
            <v>Hungría </v>
          </cell>
        </row>
        <row r="106">
          <cell r="C106" t="str">
            <v>India </v>
          </cell>
        </row>
        <row r="107">
          <cell r="C107" t="str">
            <v>Indonesia </v>
          </cell>
        </row>
        <row r="108">
          <cell r="C108" t="str">
            <v>Irán </v>
          </cell>
        </row>
        <row r="109">
          <cell r="C109" t="str">
            <v>Iraq </v>
          </cell>
        </row>
        <row r="110">
          <cell r="C110" t="str">
            <v>Irlanda </v>
          </cell>
        </row>
        <row r="111">
          <cell r="C111" t="str">
            <v>Isla Bouvet </v>
          </cell>
        </row>
        <row r="112">
          <cell r="C112" t="str">
            <v>Isla Christmas </v>
          </cell>
        </row>
        <row r="113">
          <cell r="C113" t="str">
            <v>Isla Norfolk </v>
          </cell>
        </row>
        <row r="114">
          <cell r="C114" t="str">
            <v>Islandia </v>
          </cell>
        </row>
        <row r="115">
          <cell r="C115" t="str">
            <v>Islas Caimán </v>
          </cell>
        </row>
        <row r="116">
          <cell r="C116" t="str">
            <v>Islas Cocos </v>
          </cell>
        </row>
        <row r="117">
          <cell r="C117" t="str">
            <v>Islas Cook </v>
          </cell>
        </row>
        <row r="118">
          <cell r="C118" t="str">
            <v>Islas Feroe </v>
          </cell>
        </row>
        <row r="119">
          <cell r="C119" t="str">
            <v>Islas Georgia del Sur y Sandwich del Sur </v>
          </cell>
        </row>
        <row r="120">
          <cell r="C120" t="str">
            <v>Islas Heard y McDonald </v>
          </cell>
        </row>
        <row r="121">
          <cell r="C121" t="str">
            <v>Islas Malvinas </v>
          </cell>
        </row>
        <row r="122">
          <cell r="C122" t="str">
            <v>Islas Marianas del Norte </v>
          </cell>
        </row>
        <row r="123">
          <cell r="C123" t="str">
            <v>IslasMarshall </v>
          </cell>
        </row>
        <row r="124">
          <cell r="C124" t="str">
            <v>Islas Pitcairn </v>
          </cell>
        </row>
        <row r="125">
          <cell r="C125" t="str">
            <v>Islas Salomón </v>
          </cell>
        </row>
        <row r="126">
          <cell r="C126" t="str">
            <v>Islas Turcas y Caicos </v>
          </cell>
        </row>
        <row r="127">
          <cell r="C127" t="str">
            <v>Islas Vírgenes Americanas </v>
          </cell>
        </row>
        <row r="128">
          <cell r="C128" t="str">
            <v>Islas Vírgenes Británicas </v>
          </cell>
        </row>
        <row r="129">
          <cell r="C129" t="str">
            <v>Israel </v>
          </cell>
        </row>
        <row r="130">
          <cell r="C130" t="str">
            <v>Jamaica </v>
          </cell>
        </row>
        <row r="131">
          <cell r="C131" t="str">
            <v>Jan Mayen </v>
          </cell>
        </row>
        <row r="132">
          <cell r="C132" t="str">
            <v>Japón </v>
          </cell>
        </row>
        <row r="133">
          <cell r="C133" t="str">
            <v>Jersey </v>
          </cell>
        </row>
        <row r="134">
          <cell r="C134" t="str">
            <v>Jordania </v>
          </cell>
        </row>
        <row r="135">
          <cell r="C135" t="str">
            <v>Kazajistán </v>
          </cell>
        </row>
        <row r="136">
          <cell r="C136" t="str">
            <v>Kenia </v>
          </cell>
        </row>
        <row r="137">
          <cell r="C137" t="str">
            <v>Kirguizistán </v>
          </cell>
        </row>
        <row r="138">
          <cell r="C138" t="str">
            <v>Kiribati </v>
          </cell>
        </row>
        <row r="139">
          <cell r="C139" t="str">
            <v>Kuwait </v>
          </cell>
        </row>
        <row r="140">
          <cell r="C140" t="str">
            <v>Laos </v>
          </cell>
        </row>
        <row r="141">
          <cell r="C141" t="str">
            <v>Lesoto </v>
          </cell>
        </row>
        <row r="142">
          <cell r="C142" t="str">
            <v>Letonia </v>
          </cell>
        </row>
        <row r="143">
          <cell r="C143" t="str">
            <v>Líbano </v>
          </cell>
        </row>
        <row r="144">
          <cell r="C144" t="str">
            <v>Liberia </v>
          </cell>
        </row>
        <row r="145">
          <cell r="C145" t="str">
            <v>Libia </v>
          </cell>
        </row>
        <row r="146">
          <cell r="C146" t="str">
            <v>Liechtenstein </v>
          </cell>
        </row>
        <row r="147">
          <cell r="C147" t="str">
            <v>Lituania </v>
          </cell>
        </row>
        <row r="148">
          <cell r="C148" t="str">
            <v>Luxemburgo </v>
          </cell>
        </row>
        <row r="149">
          <cell r="C149" t="str">
            <v>Macao </v>
          </cell>
        </row>
        <row r="150">
          <cell r="C150" t="str">
            <v>Macedonia </v>
          </cell>
        </row>
        <row r="151">
          <cell r="C151" t="str">
            <v>Madagascar </v>
          </cell>
        </row>
        <row r="152">
          <cell r="C152" t="str">
            <v>Malasia </v>
          </cell>
        </row>
        <row r="153">
          <cell r="C153" t="str">
            <v>Malaui </v>
          </cell>
        </row>
        <row r="154">
          <cell r="C154" t="str">
            <v>Maldivas </v>
          </cell>
        </row>
        <row r="155">
          <cell r="C155" t="str">
            <v>Malí </v>
          </cell>
        </row>
        <row r="156">
          <cell r="C156" t="str">
            <v>Malta </v>
          </cell>
        </row>
        <row r="157">
          <cell r="C157" t="str">
            <v>Man, Isle of </v>
          </cell>
        </row>
        <row r="158">
          <cell r="C158" t="str">
            <v>Marruecos </v>
          </cell>
        </row>
        <row r="159">
          <cell r="C159" t="str">
            <v>Mauricio </v>
          </cell>
        </row>
        <row r="160">
          <cell r="C160" t="str">
            <v>Mauritania </v>
          </cell>
        </row>
        <row r="161">
          <cell r="C161" t="str">
            <v>Mayotte </v>
          </cell>
        </row>
        <row r="162">
          <cell r="C162" t="str">
            <v>México </v>
          </cell>
        </row>
        <row r="163">
          <cell r="C163" t="str">
            <v>Micronesia </v>
          </cell>
        </row>
        <row r="164">
          <cell r="C164" t="str">
            <v>Moldavia </v>
          </cell>
        </row>
        <row r="165">
          <cell r="C165" t="str">
            <v>Mónaco </v>
          </cell>
        </row>
        <row r="166">
          <cell r="C166" t="str">
            <v>Mongolia </v>
          </cell>
        </row>
        <row r="167">
          <cell r="C167" t="str">
            <v>Montserrat </v>
          </cell>
        </row>
        <row r="168">
          <cell r="C168" t="str">
            <v>Mozambique </v>
          </cell>
        </row>
        <row r="169">
          <cell r="C169" t="str">
            <v>Namibia </v>
          </cell>
        </row>
        <row r="170">
          <cell r="C170" t="str">
            <v>Nauru </v>
          </cell>
        </row>
        <row r="171">
          <cell r="C171" t="str">
            <v>Navassa Island </v>
          </cell>
        </row>
        <row r="172">
          <cell r="C172" t="str">
            <v>Nepal </v>
          </cell>
        </row>
        <row r="173">
          <cell r="C173" t="str">
            <v>Nicaragua </v>
          </cell>
        </row>
        <row r="174">
          <cell r="C174" t="str">
            <v>Níger </v>
          </cell>
        </row>
        <row r="175">
          <cell r="C175" t="str">
            <v>Nigeria </v>
          </cell>
        </row>
        <row r="176">
          <cell r="C176" t="str">
            <v>Niue </v>
          </cell>
        </row>
        <row r="177">
          <cell r="C177" t="str">
            <v>Noruega </v>
          </cell>
        </row>
        <row r="178">
          <cell r="C178" t="str">
            <v>Nueva Caledonia </v>
          </cell>
        </row>
        <row r="179">
          <cell r="C179" t="str">
            <v>Nueva Zelanda </v>
          </cell>
        </row>
        <row r="180">
          <cell r="C180" t="str">
            <v>Omán </v>
          </cell>
        </row>
        <row r="181">
          <cell r="C181" t="str">
            <v>Países Bajos </v>
          </cell>
        </row>
        <row r="182">
          <cell r="C182" t="str">
            <v>Pakistán </v>
          </cell>
        </row>
        <row r="183">
          <cell r="C183" t="str">
            <v>Palaos </v>
          </cell>
        </row>
        <row r="184">
          <cell r="C184" t="str">
            <v>Panamá </v>
          </cell>
        </row>
        <row r="185">
          <cell r="C185" t="str">
            <v>Papúa-Nueva Guinea </v>
          </cell>
        </row>
        <row r="186">
          <cell r="C186" t="str">
            <v>Paracel Islands </v>
          </cell>
        </row>
        <row r="187">
          <cell r="C187" t="str">
            <v>Paraguay </v>
          </cell>
        </row>
        <row r="188">
          <cell r="C188" t="str">
            <v>Perú </v>
          </cell>
        </row>
        <row r="189">
          <cell r="C189" t="str">
            <v>Polinesia Francesa </v>
          </cell>
        </row>
        <row r="190">
          <cell r="C190" t="str">
            <v>Polonia </v>
          </cell>
        </row>
        <row r="191">
          <cell r="C191" t="str">
            <v>Portugal </v>
          </cell>
        </row>
        <row r="192">
          <cell r="C192" t="str">
            <v>Puerto Rico </v>
          </cell>
        </row>
        <row r="193">
          <cell r="C193" t="str">
            <v>Qatar </v>
          </cell>
        </row>
        <row r="194">
          <cell r="C194" t="str">
            <v>Reino Unido </v>
          </cell>
        </row>
        <row r="195">
          <cell r="C195" t="str">
            <v>República Centroafricana </v>
          </cell>
        </row>
        <row r="196">
          <cell r="C196" t="str">
            <v>República Checa </v>
          </cell>
        </row>
        <row r="197">
          <cell r="C197" t="str">
            <v>República Democrática del Congo </v>
          </cell>
        </row>
        <row r="198">
          <cell r="C198" t="str">
            <v>República Dominicana </v>
          </cell>
        </row>
        <row r="199">
          <cell r="C199" t="str">
            <v>Ruanda </v>
          </cell>
        </row>
        <row r="200">
          <cell r="C200" t="str">
            <v>Rumania </v>
          </cell>
        </row>
        <row r="201">
          <cell r="C201" t="str">
            <v>Rusia </v>
          </cell>
        </row>
        <row r="202">
          <cell r="C202" t="str">
            <v>Sáhara Occidental </v>
          </cell>
        </row>
        <row r="203">
          <cell r="C203" t="str">
            <v>Samoa </v>
          </cell>
        </row>
        <row r="204">
          <cell r="C204" t="str">
            <v>Samoa Americana </v>
          </cell>
        </row>
        <row r="205">
          <cell r="C205" t="str">
            <v>San Cristóbal y Nieves </v>
          </cell>
        </row>
        <row r="206">
          <cell r="C206" t="str">
            <v>San Marino </v>
          </cell>
        </row>
        <row r="207">
          <cell r="C207" t="str">
            <v>San Pedro y Miquelón </v>
          </cell>
        </row>
        <row r="208">
          <cell r="C208" t="str">
            <v>San Vicente y las Granadinas </v>
          </cell>
        </row>
        <row r="209">
          <cell r="C209" t="str">
            <v>Santa Helena </v>
          </cell>
        </row>
        <row r="210">
          <cell r="C210" t="str">
            <v>Santa Lucía </v>
          </cell>
        </row>
        <row r="211">
          <cell r="C211" t="str">
            <v>Santo Tomé y Príncipe </v>
          </cell>
        </row>
        <row r="212">
          <cell r="C212" t="str">
            <v>Senegal </v>
          </cell>
        </row>
        <row r="213">
          <cell r="C213" t="str">
            <v>Seychelles </v>
          </cell>
        </row>
        <row r="214">
          <cell r="C214" t="str">
            <v>Sierra Leona </v>
          </cell>
        </row>
        <row r="215">
          <cell r="C215" t="str">
            <v>Singapur </v>
          </cell>
        </row>
        <row r="216">
          <cell r="C216" t="str">
            <v>Siria </v>
          </cell>
        </row>
        <row r="217">
          <cell r="C217" t="str">
            <v>Somalia </v>
          </cell>
        </row>
        <row r="218">
          <cell r="C218" t="str">
            <v>Spratly Islands </v>
          </cell>
        </row>
        <row r="219">
          <cell r="C219" t="str">
            <v>Sri Lanka </v>
          </cell>
        </row>
        <row r="220">
          <cell r="C220" t="str">
            <v>Suazilandia </v>
          </cell>
        </row>
        <row r="221">
          <cell r="C221" t="str">
            <v>Sudáfrica </v>
          </cell>
        </row>
        <row r="222">
          <cell r="C222" t="str">
            <v>Sudán </v>
          </cell>
        </row>
        <row r="223">
          <cell r="C223" t="str">
            <v>Suecia </v>
          </cell>
        </row>
        <row r="224">
          <cell r="C224" t="str">
            <v>Suiza </v>
          </cell>
        </row>
        <row r="225">
          <cell r="C225" t="str">
            <v>Surinam </v>
          </cell>
        </row>
        <row r="226">
          <cell r="C226" t="str">
            <v>Svalbard y Jan Mayen </v>
          </cell>
        </row>
        <row r="227">
          <cell r="C227" t="str">
            <v>Tailandia </v>
          </cell>
        </row>
        <row r="228">
          <cell r="C228" t="str">
            <v>Taiwán </v>
          </cell>
        </row>
        <row r="229">
          <cell r="C229" t="str">
            <v>Tanzania </v>
          </cell>
        </row>
        <row r="230">
          <cell r="C230" t="str">
            <v>Tayikistán </v>
          </cell>
        </row>
        <row r="231">
          <cell r="C231" t="str">
            <v>TerritorioBritánicodel Océano Indico </v>
          </cell>
        </row>
        <row r="232">
          <cell r="C232" t="str">
            <v>Territorios Australes Franceses </v>
          </cell>
        </row>
        <row r="233">
          <cell r="C233" t="str">
            <v>Timor Oriental </v>
          </cell>
        </row>
        <row r="234">
          <cell r="C234" t="str">
            <v>Togo </v>
          </cell>
        </row>
        <row r="235">
          <cell r="C235" t="str">
            <v>Tokelau </v>
          </cell>
        </row>
        <row r="236">
          <cell r="C236" t="str">
            <v>Tonga </v>
          </cell>
        </row>
        <row r="237">
          <cell r="C237" t="str">
            <v>Trinidad y Tobago </v>
          </cell>
        </row>
        <row r="238">
          <cell r="C238" t="str">
            <v>Túnez </v>
          </cell>
        </row>
        <row r="239">
          <cell r="C239" t="str">
            <v>Turkmenistán </v>
          </cell>
        </row>
        <row r="240">
          <cell r="C240" t="str">
            <v>Turquía </v>
          </cell>
        </row>
        <row r="241">
          <cell r="C241" t="str">
            <v>Tuvalu </v>
          </cell>
        </row>
        <row r="242">
          <cell r="C242" t="str">
            <v>Ucrania </v>
          </cell>
        </row>
        <row r="243">
          <cell r="C243" t="str">
            <v>Uganda </v>
          </cell>
        </row>
        <row r="244">
          <cell r="C244" t="str">
            <v>Unión Europea </v>
          </cell>
        </row>
        <row r="245">
          <cell r="C245" t="str">
            <v>Uruguay </v>
          </cell>
        </row>
        <row r="246">
          <cell r="C246" t="str">
            <v>Uzbekistán </v>
          </cell>
        </row>
        <row r="247">
          <cell r="C247" t="str">
            <v>Vanuatu </v>
          </cell>
        </row>
        <row r="248">
          <cell r="C248" t="str">
            <v>Venezuela </v>
          </cell>
        </row>
        <row r="249">
          <cell r="C249" t="str">
            <v>Vietnam </v>
          </cell>
        </row>
        <row r="250">
          <cell r="C250" t="str">
            <v>Wake Island </v>
          </cell>
        </row>
        <row r="251">
          <cell r="C251" t="str">
            <v>Wallis y Futuna </v>
          </cell>
        </row>
        <row r="252">
          <cell r="C252" t="str">
            <v>West Bank </v>
          </cell>
        </row>
        <row r="253">
          <cell r="C253" t="str">
            <v>Yemen </v>
          </cell>
        </row>
        <row r="254">
          <cell r="C254" t="str">
            <v>Yibuti </v>
          </cell>
        </row>
        <row r="255">
          <cell r="C255" t="str">
            <v>Zambia </v>
          </cell>
        </row>
        <row r="256">
          <cell r="C256" t="str">
            <v>Zimbabue 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n"/>
      <sheetName val="Planilla"/>
      <sheetName val="calculos planilla"/>
    </sheetNames>
    <sheetDataSet>
      <sheetData sheetId="0"/>
      <sheetData sheetId="1"/>
      <sheetData sheetId="2">
        <row r="2">
          <cell r="A2" t="str">
            <v>ADQUISICION</v>
          </cell>
          <cell r="C2">
            <v>32873</v>
          </cell>
          <cell r="D2">
            <v>33238</v>
          </cell>
          <cell r="E2">
            <v>33603</v>
          </cell>
          <cell r="F2">
            <v>33969</v>
          </cell>
          <cell r="G2">
            <v>34334</v>
          </cell>
          <cell r="H2">
            <v>34699</v>
          </cell>
          <cell r="I2">
            <v>35064</v>
          </cell>
          <cell r="J2">
            <v>35430</v>
          </cell>
          <cell r="K2">
            <v>35795</v>
          </cell>
          <cell r="L2">
            <v>36160</v>
          </cell>
          <cell r="M2">
            <v>36525</v>
          </cell>
        </row>
        <row r="3">
          <cell r="A3">
            <v>32509</v>
          </cell>
          <cell r="B3">
            <v>1.1890000000000001</v>
          </cell>
          <cell r="C3">
            <v>1.1890000000000001</v>
          </cell>
          <cell r="D3">
            <v>1.5385660000000001</v>
          </cell>
          <cell r="E3">
            <v>1.8124307479999999</v>
          </cell>
          <cell r="F3">
            <v>2.0661710527199997</v>
          </cell>
          <cell r="G3">
            <v>2.3161777500991194</v>
          </cell>
          <cell r="H3">
            <v>2.522317569857941</v>
          </cell>
          <cell r="I3">
            <v>2.7291476105862924</v>
          </cell>
          <cell r="J3">
            <v>2.9092713528849878</v>
          </cell>
          <cell r="K3">
            <v>3.0925554481167419</v>
          </cell>
          <cell r="L3">
            <v>3.2255353323857614</v>
          </cell>
          <cell r="M3">
            <v>3.3093992510277914</v>
          </cell>
          <cell r="P3">
            <v>32509</v>
          </cell>
          <cell r="Q3">
            <v>0.18900000000000006</v>
          </cell>
          <cell r="S3">
            <v>1989</v>
          </cell>
          <cell r="T3">
            <v>0.21099999999999999</v>
          </cell>
          <cell r="U3">
            <v>3</v>
          </cell>
        </row>
        <row r="4">
          <cell r="A4">
            <v>32540</v>
          </cell>
          <cell r="B4">
            <v>1.1759999999999999</v>
          </cell>
          <cell r="C4">
            <v>1.1759999999999999</v>
          </cell>
          <cell r="D4">
            <v>1.521744</v>
          </cell>
          <cell r="E4">
            <v>1.7926144319999999</v>
          </cell>
          <cell r="F4">
            <v>2.0435804524799996</v>
          </cell>
          <cell r="G4">
            <v>2.2908536872300798</v>
          </cell>
          <cell r="H4">
            <v>2.4947396653935567</v>
          </cell>
          <cell r="I4">
            <v>2.6993083179558286</v>
          </cell>
          <cell r="J4">
            <v>2.8774626669409136</v>
          </cell>
          <cell r="K4">
            <v>3.0587428149581908</v>
          </cell>
          <cell r="L4">
            <v>3.1902687560013927</v>
          </cell>
          <cell r="M4">
            <v>3.273215743657429</v>
          </cell>
          <cell r="P4">
            <v>32540</v>
          </cell>
          <cell r="Q4">
            <v>0.17599999999999993</v>
          </cell>
          <cell r="S4">
            <v>1990</v>
          </cell>
          <cell r="T4">
            <v>0.29399999999999998</v>
          </cell>
          <cell r="U4">
            <v>4</v>
          </cell>
        </row>
        <row r="5">
          <cell r="A5">
            <v>32568</v>
          </cell>
          <cell r="B5">
            <v>1.1739999999999999</v>
          </cell>
          <cell r="C5">
            <v>1.1739999999999999</v>
          </cell>
          <cell r="D5">
            <v>1.519156</v>
          </cell>
          <cell r="E5">
            <v>1.7895657679999999</v>
          </cell>
          <cell r="F5">
            <v>2.0401049755199998</v>
          </cell>
          <cell r="G5">
            <v>2.2869576775579197</v>
          </cell>
          <cell r="H5">
            <v>2.4904969108605743</v>
          </cell>
          <cell r="I5">
            <v>2.6947176575511418</v>
          </cell>
          <cell r="J5">
            <v>2.8725690229495173</v>
          </cell>
          <cell r="K5">
            <v>3.0535408713953367</v>
          </cell>
          <cell r="L5">
            <v>3.184843128865336</v>
          </cell>
          <cell r="M5">
            <v>3.2676490502158351</v>
          </cell>
          <cell r="P5">
            <v>32568</v>
          </cell>
          <cell r="Q5">
            <v>0.17399999999999993</v>
          </cell>
          <cell r="S5">
            <v>1991</v>
          </cell>
          <cell r="T5">
            <v>0.17799999999999999</v>
          </cell>
          <cell r="U5">
            <v>5</v>
          </cell>
        </row>
        <row r="6">
          <cell r="A6">
            <v>32599</v>
          </cell>
          <cell r="B6">
            <v>1.1519999999999999</v>
          </cell>
          <cell r="C6">
            <v>1.1519999999999999</v>
          </cell>
          <cell r="D6">
            <v>1.490688</v>
          </cell>
          <cell r="E6">
            <v>1.756030464</v>
          </cell>
          <cell r="F6">
            <v>2.0018747289599998</v>
          </cell>
          <cell r="G6">
            <v>2.2441015711641596</v>
          </cell>
          <cell r="H6">
            <v>2.4438266109977698</v>
          </cell>
          <cell r="I6">
            <v>2.6442203930995869</v>
          </cell>
          <cell r="J6">
            <v>2.81873893904416</v>
          </cell>
          <cell r="K6">
            <v>2.9963194922039418</v>
          </cell>
          <cell r="L6">
            <v>3.1251612303687111</v>
          </cell>
          <cell r="M6">
            <v>3.2064154223582975</v>
          </cell>
          <cell r="P6">
            <v>32599</v>
          </cell>
          <cell r="Q6">
            <v>0.15199999999999991</v>
          </cell>
          <cell r="S6">
            <v>1992</v>
          </cell>
          <cell r="T6">
            <v>0.14000000000000001</v>
          </cell>
          <cell r="U6">
            <v>6</v>
          </cell>
        </row>
        <row r="7">
          <cell r="A7">
            <v>32629</v>
          </cell>
          <cell r="B7">
            <v>1.141</v>
          </cell>
          <cell r="C7">
            <v>1.141</v>
          </cell>
          <cell r="D7">
            <v>1.4764540000000002</v>
          </cell>
          <cell r="E7">
            <v>1.739262812</v>
          </cell>
          <cell r="F7">
            <v>1.9827596056799999</v>
          </cell>
          <cell r="G7">
            <v>2.2226735179672796</v>
          </cell>
          <cell r="H7">
            <v>2.4204914610663675</v>
          </cell>
          <cell r="I7">
            <v>2.6189717608738099</v>
          </cell>
          <cell r="J7">
            <v>2.7918238970914815</v>
          </cell>
          <cell r="K7">
            <v>2.9677088026082448</v>
          </cell>
          <cell r="L7">
            <v>3.095320281120399</v>
          </cell>
          <cell r="M7">
            <v>3.1757986084295293</v>
          </cell>
          <cell r="P7">
            <v>32629</v>
          </cell>
          <cell r="Q7">
            <v>0.14100000000000001</v>
          </cell>
          <cell r="S7">
            <v>1993</v>
          </cell>
          <cell r="T7">
            <v>0.121</v>
          </cell>
          <cell r="U7">
            <v>7</v>
          </cell>
        </row>
        <row r="8">
          <cell r="A8">
            <v>32660</v>
          </cell>
          <cell r="B8">
            <v>1.119</v>
          </cell>
          <cell r="C8">
            <v>1.119</v>
          </cell>
          <cell r="D8">
            <v>1.447986</v>
          </cell>
          <cell r="E8">
            <v>1.7057275079999998</v>
          </cell>
          <cell r="F8">
            <v>1.9445293591199997</v>
          </cell>
          <cell r="G8">
            <v>2.1798174115735196</v>
          </cell>
          <cell r="H8">
            <v>2.3738211612035629</v>
          </cell>
          <cell r="I8">
            <v>2.5684744964222554</v>
          </cell>
          <cell r="J8">
            <v>2.7379938131861246</v>
          </cell>
          <cell r="K8">
            <v>2.9104874234168503</v>
          </cell>
          <cell r="L8">
            <v>3.0356383826237745</v>
          </cell>
          <cell r="M8">
            <v>3.1145649805719926</v>
          </cell>
          <cell r="P8">
            <v>32660</v>
          </cell>
          <cell r="Q8">
            <v>0.11899999999999999</v>
          </cell>
          <cell r="S8">
            <v>1994</v>
          </cell>
          <cell r="T8">
            <v>8.8999999999999996E-2</v>
          </cell>
          <cell r="U8">
            <v>8</v>
          </cell>
        </row>
        <row r="9">
          <cell r="A9">
            <v>32690</v>
          </cell>
          <cell r="B9">
            <v>1.099</v>
          </cell>
          <cell r="C9">
            <v>1.099</v>
          </cell>
          <cell r="D9">
            <v>1.4221060000000001</v>
          </cell>
          <cell r="E9">
            <v>1.6752408679999999</v>
          </cell>
          <cell r="F9">
            <v>1.9097745895199998</v>
          </cell>
          <cell r="G9">
            <v>2.1408573148519197</v>
          </cell>
          <cell r="H9">
            <v>2.3313936158737403</v>
          </cell>
          <cell r="I9">
            <v>2.5225678923753874</v>
          </cell>
          <cell r="J9">
            <v>2.689057373272163</v>
          </cell>
          <cell r="K9">
            <v>2.858467987788309</v>
          </cell>
          <cell r="L9">
            <v>2.9813821112632062</v>
          </cell>
          <cell r="M9">
            <v>3.0588980461560498</v>
          </cell>
          <cell r="P9">
            <v>32690</v>
          </cell>
          <cell r="Q9">
            <v>9.8999999999999977E-2</v>
          </cell>
          <cell r="S9">
            <v>1995</v>
          </cell>
          <cell r="T9">
            <v>8.2000000000000003E-2</v>
          </cell>
          <cell r="U9">
            <v>9</v>
          </cell>
        </row>
        <row r="10">
          <cell r="A10">
            <v>32721</v>
          </cell>
          <cell r="B10">
            <v>1.08</v>
          </cell>
          <cell r="C10">
            <v>1.08</v>
          </cell>
          <cell r="D10">
            <v>1.3975200000000001</v>
          </cell>
          <cell r="E10">
            <v>1.6462785600000001</v>
          </cell>
          <cell r="F10">
            <v>1.8767575583999998</v>
          </cell>
          <cell r="G10">
            <v>2.1038452229663998</v>
          </cell>
          <cell r="H10">
            <v>2.2910874478104093</v>
          </cell>
          <cell r="I10">
            <v>2.4789566185308631</v>
          </cell>
          <cell r="J10">
            <v>2.6425677553539004</v>
          </cell>
          <cell r="K10">
            <v>2.8090495239411961</v>
          </cell>
          <cell r="L10">
            <v>2.9298386534706675</v>
          </cell>
          <cell r="M10">
            <v>3.0060144584609048</v>
          </cell>
          <cell r="P10">
            <v>32721</v>
          </cell>
          <cell r="Q10">
            <v>8.0000000000000071E-2</v>
          </cell>
          <cell r="S10">
            <v>1996</v>
          </cell>
          <cell r="T10">
            <v>6.6000000000000003E-2</v>
          </cell>
          <cell r="U10">
            <v>10</v>
          </cell>
        </row>
        <row r="11">
          <cell r="A11">
            <v>32752</v>
          </cell>
          <cell r="B11">
            <v>1.069</v>
          </cell>
          <cell r="C11">
            <v>1.069</v>
          </cell>
          <cell r="D11">
            <v>1.383286</v>
          </cell>
          <cell r="E11">
            <v>1.6295109079999999</v>
          </cell>
          <cell r="F11">
            <v>1.8576424351199996</v>
          </cell>
          <cell r="G11">
            <v>2.0824171697695197</v>
          </cell>
          <cell r="H11">
            <v>2.267752297879007</v>
          </cell>
          <cell r="I11">
            <v>2.4537079863050857</v>
          </cell>
          <cell r="J11">
            <v>2.6156527134012215</v>
          </cell>
          <cell r="K11">
            <v>2.7804388343454982</v>
          </cell>
          <cell r="L11">
            <v>2.8999977042223546</v>
          </cell>
          <cell r="M11">
            <v>2.9753976445321357</v>
          </cell>
          <cell r="P11">
            <v>32752</v>
          </cell>
          <cell r="Q11">
            <v>6.899999999999995E-2</v>
          </cell>
          <cell r="S11">
            <v>1997</v>
          </cell>
          <cell r="T11">
            <v>6.3E-2</v>
          </cell>
          <cell r="U11">
            <v>11</v>
          </cell>
        </row>
        <row r="12">
          <cell r="A12">
            <v>32782</v>
          </cell>
          <cell r="B12">
            <v>1.0469999999999999</v>
          </cell>
          <cell r="C12">
            <v>1.0469999999999999</v>
          </cell>
          <cell r="D12">
            <v>1.3548179999999999</v>
          </cell>
          <cell r="E12">
            <v>1.5959756039999997</v>
          </cell>
          <cell r="F12">
            <v>1.8194121885599994</v>
          </cell>
          <cell r="G12">
            <v>2.0395610633757593</v>
          </cell>
          <cell r="H12">
            <v>2.221081998016202</v>
          </cell>
          <cell r="I12">
            <v>2.4032107218535308</v>
          </cell>
          <cell r="J12">
            <v>2.5618226294958641</v>
          </cell>
          <cell r="K12">
            <v>2.7232174551541033</v>
          </cell>
          <cell r="L12">
            <v>2.8403158057257296</v>
          </cell>
          <cell r="M12">
            <v>2.9141640166745986</v>
          </cell>
          <cell r="P12">
            <v>32782</v>
          </cell>
          <cell r="Q12">
            <v>4.6999999999999931E-2</v>
          </cell>
          <cell r="S12">
            <v>1998</v>
          </cell>
          <cell r="T12">
            <v>4.2999999999999997E-2</v>
          </cell>
          <cell r="U12">
            <v>12</v>
          </cell>
        </row>
        <row r="13">
          <cell r="A13">
            <v>32813</v>
          </cell>
          <cell r="B13">
            <v>1.0169999999999999</v>
          </cell>
          <cell r="C13">
            <v>1.0169999999999999</v>
          </cell>
          <cell r="D13">
            <v>1.315998</v>
          </cell>
          <cell r="E13">
            <v>1.5502456439999999</v>
          </cell>
          <cell r="F13">
            <v>1.7672800341599997</v>
          </cell>
          <cell r="G13">
            <v>1.9811209182933596</v>
          </cell>
          <cell r="H13">
            <v>2.1574406800214687</v>
          </cell>
          <cell r="I13">
            <v>2.3343508157832291</v>
          </cell>
          <cell r="J13">
            <v>2.4884179696249222</v>
          </cell>
          <cell r="K13">
            <v>2.645188301711292</v>
          </cell>
          <cell r="L13">
            <v>2.7589313986848776</v>
          </cell>
          <cell r="M13">
            <v>2.8306636150506845</v>
          </cell>
          <cell r="P13">
            <v>32813</v>
          </cell>
          <cell r="Q13">
            <v>1.6999999999999904E-2</v>
          </cell>
          <cell r="S13">
            <v>1999</v>
          </cell>
          <cell r="T13">
            <v>2.5999999999999999E-2</v>
          </cell>
          <cell r="U13">
            <v>13</v>
          </cell>
        </row>
        <row r="14">
          <cell r="A14">
            <v>32843</v>
          </cell>
          <cell r="B14">
            <v>1</v>
          </cell>
          <cell r="C14">
            <v>1</v>
          </cell>
          <cell r="D14">
            <v>1.294</v>
          </cell>
          <cell r="E14">
            <v>1.524332</v>
          </cell>
          <cell r="F14">
            <v>1.73773848</v>
          </cell>
          <cell r="G14">
            <v>1.94800483608</v>
          </cell>
          <cell r="H14">
            <v>2.1213772664911197</v>
          </cell>
          <cell r="I14">
            <v>2.2953302023433917</v>
          </cell>
          <cell r="J14">
            <v>2.4468219956980555</v>
          </cell>
          <cell r="K14">
            <v>2.6009717814270328</v>
          </cell>
          <cell r="L14">
            <v>2.7128135680283951</v>
          </cell>
          <cell r="M14">
            <v>2.7833467207971334</v>
          </cell>
          <cell r="P14">
            <v>32843</v>
          </cell>
          <cell r="Q14">
            <v>0</v>
          </cell>
          <cell r="S14">
            <v>2000</v>
          </cell>
          <cell r="T14">
            <v>4.7E-2</v>
          </cell>
          <cell r="U14">
            <v>14</v>
          </cell>
        </row>
        <row r="15">
          <cell r="A15">
            <v>32874</v>
          </cell>
          <cell r="B15">
            <v>1.2669999999999999</v>
          </cell>
          <cell r="D15">
            <v>1.2669999999999999</v>
          </cell>
          <cell r="E15">
            <v>1.4925259999999998</v>
          </cell>
          <cell r="F15">
            <v>1.7014796399999996</v>
          </cell>
          <cell r="G15">
            <v>1.9073586764399997</v>
          </cell>
          <cell r="H15">
            <v>2.0771135986431597</v>
          </cell>
          <cell r="I15">
            <v>2.247436913731899</v>
          </cell>
          <cell r="J15">
            <v>2.3957677500382046</v>
          </cell>
          <cell r="K15">
            <v>2.5467011182906112</v>
          </cell>
          <cell r="L15">
            <v>2.6562092663771071</v>
          </cell>
          <cell r="M15">
            <v>2.7252707073029119</v>
          </cell>
          <cell r="P15">
            <v>32874</v>
          </cell>
          <cell r="Q15">
            <v>0.2669999999999999</v>
          </cell>
        </row>
        <row r="16">
          <cell r="A16">
            <v>32905</v>
          </cell>
          <cell r="B16">
            <v>1.236</v>
          </cell>
          <cell r="D16">
            <v>1.236</v>
          </cell>
          <cell r="E16">
            <v>1.456008</v>
          </cell>
          <cell r="F16">
            <v>1.6598491199999998</v>
          </cell>
          <cell r="G16">
            <v>1.8606908635199999</v>
          </cell>
          <cell r="H16">
            <v>2.0262923503732799</v>
          </cell>
          <cell r="I16">
            <v>2.1924483231038892</v>
          </cell>
          <cell r="J16">
            <v>2.337149912428746</v>
          </cell>
          <cell r="K16">
            <v>2.4843903569117569</v>
          </cell>
          <cell r="L16">
            <v>2.5912191422589621</v>
          </cell>
          <cell r="M16">
            <v>2.6585908399576952</v>
          </cell>
          <cell r="P16">
            <v>32905</v>
          </cell>
          <cell r="Q16">
            <v>0.23599999999999999</v>
          </cell>
        </row>
        <row r="17">
          <cell r="A17">
            <v>32933</v>
          </cell>
          <cell r="B17">
            <v>1.232</v>
          </cell>
          <cell r="D17">
            <v>1.232</v>
          </cell>
          <cell r="E17">
            <v>1.4512959999999999</v>
          </cell>
          <cell r="F17">
            <v>1.6544774399999997</v>
          </cell>
          <cell r="G17">
            <v>1.8546692102399998</v>
          </cell>
          <cell r="H17">
            <v>2.0197347699513597</v>
          </cell>
          <cell r="I17">
            <v>2.1853530210873715</v>
          </cell>
          <cell r="J17">
            <v>2.3295863204791383</v>
          </cell>
          <cell r="K17">
            <v>2.4763502586693238</v>
          </cell>
          <cell r="L17">
            <v>2.5828333197921047</v>
          </cell>
          <cell r="M17">
            <v>2.6499869861066996</v>
          </cell>
          <cell r="P17">
            <v>32933</v>
          </cell>
          <cell r="Q17">
            <v>0.23199999999999998</v>
          </cell>
        </row>
        <row r="18">
          <cell r="A18">
            <v>32964</v>
          </cell>
          <cell r="B18">
            <v>1.2030000000000001</v>
          </cell>
          <cell r="D18">
            <v>1.2030000000000001</v>
          </cell>
          <cell r="E18">
            <v>1.4171339999999999</v>
          </cell>
          <cell r="F18">
            <v>1.6155327599999998</v>
          </cell>
          <cell r="G18">
            <v>1.8110122239599997</v>
          </cell>
          <cell r="H18">
            <v>1.9721923118924396</v>
          </cell>
          <cell r="I18">
            <v>2.1339120814676198</v>
          </cell>
          <cell r="J18">
            <v>2.2747502788444827</v>
          </cell>
          <cell r="K18">
            <v>2.4180595464116847</v>
          </cell>
          <cell r="L18">
            <v>2.5220361069073869</v>
          </cell>
          <cell r="M18">
            <v>2.5876090456869791</v>
          </cell>
          <cell r="P18">
            <v>32964</v>
          </cell>
          <cell r="Q18">
            <v>0.20300000000000007</v>
          </cell>
        </row>
        <row r="19">
          <cell r="A19">
            <v>32994</v>
          </cell>
          <cell r="B19">
            <v>1.1819999999999999</v>
          </cell>
          <cell r="D19">
            <v>1.1819999999999999</v>
          </cell>
          <cell r="E19">
            <v>1.3923959999999997</v>
          </cell>
          <cell r="F19">
            <v>1.5873314399999996</v>
          </cell>
          <cell r="G19">
            <v>1.7793985442399995</v>
          </cell>
          <cell r="H19">
            <v>1.9377650146773595</v>
          </cell>
          <cell r="I19">
            <v>2.0966617458809029</v>
          </cell>
          <cell r="J19">
            <v>2.2350414211090426</v>
          </cell>
          <cell r="K19">
            <v>2.375849030638912</v>
          </cell>
          <cell r="L19">
            <v>2.4780105389563851</v>
          </cell>
          <cell r="M19">
            <v>2.5424388129692512</v>
          </cell>
          <cell r="P19">
            <v>32994</v>
          </cell>
          <cell r="Q19">
            <v>0.18199999999999994</v>
          </cell>
        </row>
        <row r="20">
          <cell r="A20">
            <v>33025</v>
          </cell>
          <cell r="B20">
            <v>1.1639999999999999</v>
          </cell>
          <cell r="D20">
            <v>1.1639999999999999</v>
          </cell>
          <cell r="E20">
            <v>1.3711919999999997</v>
          </cell>
          <cell r="F20">
            <v>1.5631588799999996</v>
          </cell>
          <cell r="G20">
            <v>1.7523011044799994</v>
          </cell>
          <cell r="H20">
            <v>1.9082559027787194</v>
          </cell>
          <cell r="I20">
            <v>2.0647328868065746</v>
          </cell>
          <cell r="J20">
            <v>2.2010052573358085</v>
          </cell>
          <cell r="K20">
            <v>2.3396685885479642</v>
          </cell>
          <cell r="L20">
            <v>2.4402743378555267</v>
          </cell>
          <cell r="M20">
            <v>2.5037214706397704</v>
          </cell>
          <cell r="P20">
            <v>33025</v>
          </cell>
          <cell r="Q20">
            <v>0.16399999999999992</v>
          </cell>
        </row>
        <row r="21">
          <cell r="A21">
            <v>33055</v>
          </cell>
          <cell r="B21">
            <v>1.139</v>
          </cell>
          <cell r="D21">
            <v>1.139</v>
          </cell>
          <cell r="E21">
            <v>1.341742</v>
          </cell>
          <cell r="F21">
            <v>1.52958588</v>
          </cell>
          <cell r="G21">
            <v>1.71466577148</v>
          </cell>
          <cell r="H21">
            <v>1.8672710251417199</v>
          </cell>
          <cell r="I21">
            <v>2.020387249203341</v>
          </cell>
          <cell r="J21">
            <v>2.1537328076507616</v>
          </cell>
          <cell r="K21">
            <v>2.2894179745327596</v>
          </cell>
          <cell r="L21">
            <v>2.387862947437668</v>
          </cell>
          <cell r="M21">
            <v>2.4499473840710473</v>
          </cell>
          <cell r="P21">
            <v>33055</v>
          </cell>
          <cell r="Q21">
            <v>0.13900000000000001</v>
          </cell>
        </row>
        <row r="22">
          <cell r="A22">
            <v>33086</v>
          </cell>
          <cell r="B22">
            <v>1.121</v>
          </cell>
          <cell r="D22">
            <v>1.121</v>
          </cell>
          <cell r="E22">
            <v>1.320538</v>
          </cell>
          <cell r="F22">
            <v>1.5054133199999999</v>
          </cell>
          <cell r="G22">
            <v>1.6875683317199999</v>
          </cell>
          <cell r="H22">
            <v>1.8377619132430798</v>
          </cell>
          <cell r="I22">
            <v>1.9884583901290125</v>
          </cell>
          <cell r="J22">
            <v>2.1196966438775275</v>
          </cell>
          <cell r="K22">
            <v>2.2532375324418115</v>
          </cell>
          <cell r="L22">
            <v>2.3501267463368092</v>
          </cell>
          <cell r="M22">
            <v>2.4112300417415664</v>
          </cell>
          <cell r="P22">
            <v>33086</v>
          </cell>
          <cell r="Q22">
            <v>0.121</v>
          </cell>
        </row>
        <row r="23">
          <cell r="A23">
            <v>33117</v>
          </cell>
          <cell r="B23">
            <v>1.099</v>
          </cell>
          <cell r="D23">
            <v>1.099</v>
          </cell>
          <cell r="E23">
            <v>1.2946219999999999</v>
          </cell>
          <cell r="F23">
            <v>1.4758690799999998</v>
          </cell>
          <cell r="G23">
            <v>1.6544492386799998</v>
          </cell>
          <cell r="H23">
            <v>1.8016952209225197</v>
          </cell>
          <cell r="I23">
            <v>1.9494342290381663</v>
          </cell>
          <cell r="J23">
            <v>2.0780968881546853</v>
          </cell>
          <cell r="K23">
            <v>2.2090169921084302</v>
          </cell>
          <cell r="L23">
            <v>2.3040047227690925</v>
          </cell>
          <cell r="M23">
            <v>2.363908845561089</v>
          </cell>
          <cell r="P23">
            <v>33117</v>
          </cell>
          <cell r="Q23">
            <v>9.8999999999999977E-2</v>
          </cell>
        </row>
        <row r="24">
          <cell r="A24">
            <v>33147</v>
          </cell>
          <cell r="B24">
            <v>1.0469999999999999</v>
          </cell>
          <cell r="D24">
            <v>1.0469999999999999</v>
          </cell>
          <cell r="E24">
            <v>1.233366</v>
          </cell>
          <cell r="F24">
            <v>1.4060372399999999</v>
          </cell>
          <cell r="G24">
            <v>1.5761677460399999</v>
          </cell>
          <cell r="H24">
            <v>1.7164466754375598</v>
          </cell>
          <cell r="I24">
            <v>1.8571953028234398</v>
          </cell>
          <cell r="J24">
            <v>1.9797701928097871</v>
          </cell>
          <cell r="K24">
            <v>2.1044957149568035</v>
          </cell>
          <cell r="L24">
            <v>2.1949890306999458</v>
          </cell>
          <cell r="M24">
            <v>2.2520587454981444</v>
          </cell>
          <cell r="P24">
            <v>33147</v>
          </cell>
          <cell r="Q24">
            <v>4.6999999999999931E-2</v>
          </cell>
        </row>
        <row r="25">
          <cell r="A25">
            <v>33178</v>
          </cell>
          <cell r="B25">
            <v>1.0089999999999999</v>
          </cell>
          <cell r="D25">
            <v>1.0089999999999999</v>
          </cell>
          <cell r="E25">
            <v>1.1886019999999997</v>
          </cell>
          <cell r="F25">
            <v>1.3550062799999996</v>
          </cell>
          <cell r="G25">
            <v>1.5189620398799994</v>
          </cell>
          <cell r="H25">
            <v>1.6541496614293194</v>
          </cell>
          <cell r="I25">
            <v>1.7897899336665237</v>
          </cell>
          <cell r="J25">
            <v>1.9079160692885144</v>
          </cell>
          <cell r="K25">
            <v>2.0281147816536906</v>
          </cell>
          <cell r="L25">
            <v>2.1153237172647992</v>
          </cell>
          <cell r="M25">
            <v>2.1703221339136838</v>
          </cell>
          <cell r="P25">
            <v>33178</v>
          </cell>
          <cell r="Q25">
            <v>8.999999999999897E-3</v>
          </cell>
        </row>
        <row r="26">
          <cell r="A26">
            <v>33208</v>
          </cell>
          <cell r="B26">
            <v>1</v>
          </cell>
          <cell r="D26">
            <v>1</v>
          </cell>
          <cell r="E26">
            <v>1.1779999999999999</v>
          </cell>
          <cell r="F26">
            <v>1.3429199999999999</v>
          </cell>
          <cell r="G26">
            <v>1.5054133199999999</v>
          </cell>
          <cell r="H26">
            <v>1.6393951054799998</v>
          </cell>
          <cell r="I26">
            <v>1.7738255041293598</v>
          </cell>
          <cell r="J26">
            <v>1.8908979874018976</v>
          </cell>
          <cell r="K26">
            <v>2.0100245606082172</v>
          </cell>
          <cell r="L26">
            <v>2.0964556167143704</v>
          </cell>
          <cell r="M26">
            <v>2.150963462748944</v>
          </cell>
          <cell r="P26">
            <v>33208</v>
          </cell>
          <cell r="Q26">
            <v>0</v>
          </cell>
        </row>
        <row r="27">
          <cell r="A27">
            <v>33239</v>
          </cell>
          <cell r="B27">
            <v>1.1719999999999999</v>
          </cell>
          <cell r="E27">
            <v>1.1719999999999999</v>
          </cell>
          <cell r="F27">
            <v>1.3360799999999997</v>
          </cell>
          <cell r="G27">
            <v>1.4977456799999997</v>
          </cell>
          <cell r="H27">
            <v>1.6310450455199996</v>
          </cell>
          <cell r="I27">
            <v>1.7647907392526396</v>
          </cell>
          <cell r="J27">
            <v>1.8812669280433139</v>
          </cell>
          <cell r="K27">
            <v>1.9997867445100426</v>
          </cell>
          <cell r="L27">
            <v>2.0857775745239744</v>
          </cell>
          <cell r="M27">
            <v>2.1400077914615978</v>
          </cell>
          <cell r="P27">
            <v>33239</v>
          </cell>
          <cell r="Q27">
            <v>0.17199999999999993</v>
          </cell>
        </row>
        <row r="28">
          <cell r="A28">
            <v>33270</v>
          </cell>
          <cell r="B28">
            <v>1.167</v>
          </cell>
          <cell r="E28">
            <v>1.167</v>
          </cell>
          <cell r="F28">
            <v>1.3303799999999999</v>
          </cell>
          <cell r="G28">
            <v>1.4913559799999998</v>
          </cell>
          <cell r="H28">
            <v>1.6240866622199996</v>
          </cell>
          <cell r="I28">
            <v>1.7572617685220397</v>
          </cell>
          <cell r="J28">
            <v>1.8732410452444945</v>
          </cell>
          <cell r="K28">
            <v>1.9912552310948977</v>
          </cell>
          <cell r="L28">
            <v>2.0768792060319781</v>
          </cell>
          <cell r="M28">
            <v>2.1308780653888095</v>
          </cell>
          <cell r="P28">
            <v>33270</v>
          </cell>
          <cell r="Q28">
            <v>0.16700000000000004</v>
          </cell>
        </row>
        <row r="29">
          <cell r="A29">
            <v>33298</v>
          </cell>
          <cell r="B29">
            <v>1.1659999999999999</v>
          </cell>
          <cell r="E29">
            <v>1.1659999999999999</v>
          </cell>
          <cell r="F29">
            <v>1.3292399999999998</v>
          </cell>
          <cell r="G29">
            <v>1.4900780399999998</v>
          </cell>
          <cell r="H29">
            <v>1.6226949855599997</v>
          </cell>
          <cell r="I29">
            <v>1.7557559743759197</v>
          </cell>
          <cell r="J29">
            <v>1.8716358686847305</v>
          </cell>
          <cell r="K29">
            <v>1.9895489284118684</v>
          </cell>
          <cell r="L29">
            <v>2.0750995323335784</v>
          </cell>
          <cell r="M29">
            <v>2.1290521201742516</v>
          </cell>
          <cell r="P29">
            <v>33298</v>
          </cell>
          <cell r="Q29">
            <v>0.16599999999999993</v>
          </cell>
        </row>
        <row r="30">
          <cell r="A30">
            <v>33329</v>
          </cell>
          <cell r="B30">
            <v>1.1519999999999999</v>
          </cell>
          <cell r="E30">
            <v>1.1519999999999999</v>
          </cell>
          <cell r="F30">
            <v>1.3132799999999998</v>
          </cell>
          <cell r="G30">
            <v>1.4721868799999998</v>
          </cell>
          <cell r="H30">
            <v>1.6032115123199997</v>
          </cell>
          <cell r="I30">
            <v>1.7346748563302399</v>
          </cell>
          <cell r="J30">
            <v>1.8491633968480359</v>
          </cell>
          <cell r="K30">
            <v>1.965660690849462</v>
          </cell>
          <cell r="L30">
            <v>2.0501841005559887</v>
          </cell>
          <cell r="M30">
            <v>2.1034888871704442</v>
          </cell>
          <cell r="P30">
            <v>33329</v>
          </cell>
          <cell r="Q30">
            <v>0.15199999999999991</v>
          </cell>
        </row>
        <row r="31">
          <cell r="A31">
            <v>33359</v>
          </cell>
          <cell r="B31">
            <v>1.131</v>
          </cell>
          <cell r="E31">
            <v>1.131</v>
          </cell>
          <cell r="F31">
            <v>1.2893399999999999</v>
          </cell>
          <cell r="G31">
            <v>1.4453501399999999</v>
          </cell>
          <cell r="H31">
            <v>1.5739863024599998</v>
          </cell>
          <cell r="I31">
            <v>1.7030531792617198</v>
          </cell>
          <cell r="J31">
            <v>1.8154546890929935</v>
          </cell>
          <cell r="K31">
            <v>1.929828334505852</v>
          </cell>
          <cell r="L31">
            <v>2.0128109528896037</v>
          </cell>
          <cell r="M31">
            <v>2.0651440376647332</v>
          </cell>
          <cell r="P31">
            <v>33359</v>
          </cell>
          <cell r="Q31">
            <v>0.13100000000000001</v>
          </cell>
        </row>
        <row r="32">
          <cell r="A32">
            <v>33390</v>
          </cell>
          <cell r="B32">
            <v>1.1040000000000001</v>
          </cell>
          <cell r="E32">
            <v>1.1040000000000001</v>
          </cell>
          <cell r="F32">
            <v>1.2585599999999999</v>
          </cell>
          <cell r="G32">
            <v>1.4108457599999999</v>
          </cell>
          <cell r="H32">
            <v>1.53641103264</v>
          </cell>
          <cell r="I32">
            <v>1.6623967373164801</v>
          </cell>
          <cell r="J32">
            <v>1.7721149219793679</v>
          </cell>
          <cell r="K32">
            <v>1.883758162064068</v>
          </cell>
          <cell r="L32">
            <v>1.9647597630328228</v>
          </cell>
          <cell r="M32">
            <v>2.0158435168716764</v>
          </cell>
          <cell r="P32">
            <v>33390</v>
          </cell>
          <cell r="Q32">
            <v>0.10400000000000009</v>
          </cell>
        </row>
        <row r="33">
          <cell r="A33">
            <v>33420</v>
          </cell>
          <cell r="B33">
            <v>1.0840000000000001</v>
          </cell>
          <cell r="E33">
            <v>1.0840000000000001</v>
          </cell>
          <cell r="F33">
            <v>1.23576</v>
          </cell>
          <cell r="G33">
            <v>1.38528696</v>
          </cell>
          <cell r="H33">
            <v>1.5085774994399999</v>
          </cell>
          <cell r="I33">
            <v>1.6322808543940799</v>
          </cell>
          <cell r="J33">
            <v>1.7400113907840893</v>
          </cell>
          <cell r="K33">
            <v>1.8496321084034868</v>
          </cell>
          <cell r="L33">
            <v>1.9291662890648367</v>
          </cell>
          <cell r="M33">
            <v>1.9793246125805224</v>
          </cell>
          <cell r="P33">
            <v>33420</v>
          </cell>
          <cell r="Q33">
            <v>8.4000000000000075E-2</v>
          </cell>
        </row>
        <row r="34">
          <cell r="A34">
            <v>33451</v>
          </cell>
          <cell r="B34">
            <v>1.0649999999999999</v>
          </cell>
          <cell r="E34">
            <v>1.0649999999999999</v>
          </cell>
          <cell r="F34">
            <v>1.2140999999999997</v>
          </cell>
          <cell r="G34">
            <v>1.3610060999999998</v>
          </cell>
          <cell r="H34">
            <v>1.4821356428999997</v>
          </cell>
          <cell r="I34">
            <v>1.6036707656177998</v>
          </cell>
          <cell r="J34">
            <v>1.7095130361485746</v>
          </cell>
          <cell r="K34">
            <v>1.8172123574259347</v>
          </cell>
          <cell r="L34">
            <v>1.8953524887952498</v>
          </cell>
          <cell r="M34">
            <v>1.9446316535039263</v>
          </cell>
          <cell r="P34">
            <v>33451</v>
          </cell>
          <cell r="Q34">
            <v>6.4999999999999947E-2</v>
          </cell>
        </row>
        <row r="35">
          <cell r="A35">
            <v>33482</v>
          </cell>
          <cell r="B35">
            <v>1.052</v>
          </cell>
          <cell r="E35">
            <v>1.052</v>
          </cell>
          <cell r="F35">
            <v>1.1992799999999999</v>
          </cell>
          <cell r="G35">
            <v>1.3443928799999998</v>
          </cell>
          <cell r="H35">
            <v>1.4640438463199996</v>
          </cell>
          <cell r="I35">
            <v>1.5840954417182398</v>
          </cell>
          <cell r="J35">
            <v>1.6886457408716438</v>
          </cell>
          <cell r="K35">
            <v>1.7950304225465572</v>
          </cell>
          <cell r="L35">
            <v>1.8722167307160591</v>
          </cell>
          <cell r="M35">
            <v>1.9208943657146766</v>
          </cell>
          <cell r="P35">
            <v>33482</v>
          </cell>
          <cell r="Q35">
            <v>5.2000000000000046E-2</v>
          </cell>
        </row>
        <row r="36">
          <cell r="A36">
            <v>33512</v>
          </cell>
          <cell r="B36">
            <v>1.038</v>
          </cell>
          <cell r="E36">
            <v>1.038</v>
          </cell>
          <cell r="F36">
            <v>1.1833199999999999</v>
          </cell>
          <cell r="G36">
            <v>1.32650172</v>
          </cell>
          <cell r="H36">
            <v>1.4445603730799998</v>
          </cell>
          <cell r="I36">
            <v>1.56301432367256</v>
          </cell>
          <cell r="J36">
            <v>1.6661732690349491</v>
          </cell>
          <cell r="K36">
            <v>1.7711421849841509</v>
          </cell>
          <cell r="L36">
            <v>1.8473012989384692</v>
          </cell>
          <cell r="M36">
            <v>1.8953311327108695</v>
          </cell>
          <cell r="P36">
            <v>33512</v>
          </cell>
          <cell r="Q36">
            <v>3.8000000000000034E-2</v>
          </cell>
        </row>
        <row r="37">
          <cell r="A37">
            <v>33543</v>
          </cell>
          <cell r="B37">
            <v>1.0089999999999999</v>
          </cell>
          <cell r="E37">
            <v>1.0089999999999999</v>
          </cell>
          <cell r="F37">
            <v>1.1502599999999998</v>
          </cell>
          <cell r="G37">
            <v>1.2894414599999997</v>
          </cell>
          <cell r="H37">
            <v>1.4042017499399997</v>
          </cell>
          <cell r="I37">
            <v>1.5193462934350799</v>
          </cell>
          <cell r="J37">
            <v>1.6196231488017951</v>
          </cell>
          <cell r="K37">
            <v>1.7216594071763081</v>
          </cell>
          <cell r="L37">
            <v>1.7956907616848892</v>
          </cell>
          <cell r="M37">
            <v>1.8423787214886964</v>
          </cell>
          <cell r="P37">
            <v>33543</v>
          </cell>
          <cell r="Q37">
            <v>8.999999999999897E-3</v>
          </cell>
        </row>
        <row r="38">
          <cell r="A38">
            <v>33573</v>
          </cell>
          <cell r="B38">
            <v>1</v>
          </cell>
          <cell r="E38">
            <v>1</v>
          </cell>
          <cell r="F38">
            <v>1.1399999999999999</v>
          </cell>
          <cell r="G38">
            <v>1.2779399999999999</v>
          </cell>
          <cell r="H38">
            <v>1.3916766599999999</v>
          </cell>
          <cell r="I38">
            <v>1.50579414612</v>
          </cell>
          <cell r="J38">
            <v>1.60517655976392</v>
          </cell>
          <cell r="K38">
            <v>1.7063026830290469</v>
          </cell>
          <cell r="L38">
            <v>1.7796736983992958</v>
          </cell>
          <cell r="M38">
            <v>1.8259452145576776</v>
          </cell>
          <cell r="P38">
            <v>33573</v>
          </cell>
          <cell r="Q38">
            <v>0</v>
          </cell>
        </row>
        <row r="39">
          <cell r="A39">
            <v>33604</v>
          </cell>
          <cell r="B39">
            <v>1.1259999999999999</v>
          </cell>
          <cell r="F39">
            <v>1.1259999999999999</v>
          </cell>
          <cell r="G39">
            <v>1.262246</v>
          </cell>
          <cell r="H39">
            <v>1.374585894</v>
          </cell>
          <cell r="I39">
            <v>1.4873019373080001</v>
          </cell>
          <cell r="J39">
            <v>1.5854638651703281</v>
          </cell>
          <cell r="K39">
            <v>1.6853480886760588</v>
          </cell>
          <cell r="L39">
            <v>1.7578180564891293</v>
          </cell>
          <cell r="M39">
            <v>1.8035213259578466</v>
          </cell>
          <cell r="P39">
            <v>33604</v>
          </cell>
          <cell r="Q39">
            <v>0.12599999999999989</v>
          </cell>
        </row>
        <row r="40">
          <cell r="A40">
            <v>33635</v>
          </cell>
          <cell r="B40">
            <v>1.1140000000000001</v>
          </cell>
          <cell r="F40">
            <v>1.1140000000000001</v>
          </cell>
          <cell r="G40">
            <v>1.2487940000000002</v>
          </cell>
          <cell r="H40">
            <v>1.3599366660000001</v>
          </cell>
          <cell r="I40">
            <v>1.4714514726120003</v>
          </cell>
          <cell r="J40">
            <v>1.5685672698043924</v>
          </cell>
          <cell r="K40">
            <v>1.6673870078020692</v>
          </cell>
          <cell r="L40">
            <v>1.739084649137558</v>
          </cell>
          <cell r="M40">
            <v>1.7843008500151345</v>
          </cell>
          <cell r="P40">
            <v>33635</v>
          </cell>
          <cell r="Q40">
            <v>0.1140000000000001</v>
          </cell>
        </row>
        <row r="41">
          <cell r="A41">
            <v>33664</v>
          </cell>
          <cell r="B41">
            <v>1.121</v>
          </cell>
          <cell r="F41">
            <v>1.121</v>
          </cell>
          <cell r="G41">
            <v>1.2566409999999999</v>
          </cell>
          <cell r="H41">
            <v>1.3684820489999998</v>
          </cell>
          <cell r="I41">
            <v>1.480697577018</v>
          </cell>
          <cell r="J41">
            <v>1.5784236171011881</v>
          </cell>
          <cell r="K41">
            <v>1.6778643049785629</v>
          </cell>
          <cell r="L41">
            <v>1.7500124700926409</v>
          </cell>
          <cell r="M41">
            <v>1.7955127943150497</v>
          </cell>
          <cell r="P41">
            <v>33664</v>
          </cell>
          <cell r="Q41">
            <v>0.121</v>
          </cell>
        </row>
        <row r="42">
          <cell r="A42">
            <v>33695</v>
          </cell>
          <cell r="B42">
            <v>1.113</v>
          </cell>
          <cell r="F42">
            <v>1.113</v>
          </cell>
          <cell r="G42">
            <v>1.247673</v>
          </cell>
          <cell r="H42">
            <v>1.358715897</v>
          </cell>
          <cell r="I42">
            <v>1.470130600554</v>
          </cell>
          <cell r="J42">
            <v>1.5671592201905642</v>
          </cell>
          <cell r="K42">
            <v>1.6658902510625697</v>
          </cell>
          <cell r="L42">
            <v>1.73752353185826</v>
          </cell>
          <cell r="M42">
            <v>1.7826991436865749</v>
          </cell>
          <cell r="P42">
            <v>33695</v>
          </cell>
          <cell r="Q42">
            <v>0.11299999999999999</v>
          </cell>
        </row>
        <row r="43">
          <cell r="A43">
            <v>33725</v>
          </cell>
          <cell r="B43">
            <v>1.099</v>
          </cell>
          <cell r="F43">
            <v>1.099</v>
          </cell>
          <cell r="G43">
            <v>1.2319789999999999</v>
          </cell>
          <cell r="H43">
            <v>1.3416251309999998</v>
          </cell>
          <cell r="I43">
            <v>1.4516383917419999</v>
          </cell>
          <cell r="J43">
            <v>1.547446525596972</v>
          </cell>
          <cell r="K43">
            <v>1.6449356567095812</v>
          </cell>
          <cell r="L43">
            <v>1.7156678899480931</v>
          </cell>
          <cell r="M43">
            <v>1.7602752550867435</v>
          </cell>
          <cell r="P43">
            <v>33725</v>
          </cell>
          <cell r="Q43">
            <v>9.8999999999999977E-2</v>
          </cell>
        </row>
        <row r="44">
          <cell r="A44">
            <v>33756</v>
          </cell>
          <cell r="B44">
            <v>1.087</v>
          </cell>
          <cell r="F44">
            <v>1.087</v>
          </cell>
          <cell r="G44">
            <v>1.2185269999999999</v>
          </cell>
          <cell r="H44">
            <v>1.3269759029999999</v>
          </cell>
          <cell r="I44">
            <v>1.4357879270459999</v>
          </cell>
          <cell r="J44">
            <v>1.5305499302310359</v>
          </cell>
          <cell r="K44">
            <v>1.6269745758355911</v>
          </cell>
          <cell r="L44">
            <v>1.6969344825965214</v>
          </cell>
          <cell r="M44">
            <v>1.741054779144031</v>
          </cell>
          <cell r="P44">
            <v>33756</v>
          </cell>
          <cell r="Q44">
            <v>8.6999999999999966E-2</v>
          </cell>
        </row>
        <row r="45">
          <cell r="A45">
            <v>33786</v>
          </cell>
          <cell r="B45">
            <v>1.08</v>
          </cell>
          <cell r="F45">
            <v>1.08</v>
          </cell>
          <cell r="G45">
            <v>1.21068</v>
          </cell>
          <cell r="H45">
            <v>1.3184305199999999</v>
          </cell>
          <cell r="I45">
            <v>1.42654182264</v>
          </cell>
          <cell r="J45">
            <v>1.5206935829342401</v>
          </cell>
          <cell r="K45">
            <v>1.6164972786590972</v>
          </cell>
          <cell r="L45">
            <v>1.6860066616414382</v>
          </cell>
          <cell r="M45">
            <v>1.7298428348441157</v>
          </cell>
          <cell r="P45">
            <v>33786</v>
          </cell>
          <cell r="Q45">
            <v>8.0000000000000071E-2</v>
          </cell>
        </row>
        <row r="46">
          <cell r="A46">
            <v>33817</v>
          </cell>
          <cell r="B46">
            <v>1.0680000000000001</v>
          </cell>
          <cell r="F46">
            <v>1.0680000000000001</v>
          </cell>
          <cell r="G46">
            <v>1.197228</v>
          </cell>
          <cell r="H46">
            <v>1.3037812919999998</v>
          </cell>
          <cell r="I46">
            <v>1.4106913579439999</v>
          </cell>
          <cell r="J46">
            <v>1.5037969875683039</v>
          </cell>
          <cell r="K46">
            <v>1.5985361977851069</v>
          </cell>
          <cell r="L46">
            <v>1.6672732542898665</v>
          </cell>
          <cell r="M46">
            <v>1.7106223589014031</v>
          </cell>
          <cell r="P46">
            <v>33817</v>
          </cell>
          <cell r="Q46">
            <v>6.800000000000006E-2</v>
          </cell>
        </row>
        <row r="47">
          <cell r="A47">
            <v>33848</v>
          </cell>
          <cell r="B47">
            <v>1.0529999999999999</v>
          </cell>
          <cell r="F47">
            <v>1.0529999999999999</v>
          </cell>
          <cell r="G47">
            <v>1.1804129999999999</v>
          </cell>
          <cell r="H47">
            <v>1.285469757</v>
          </cell>
          <cell r="I47">
            <v>1.390878277074</v>
          </cell>
          <cell r="J47">
            <v>1.4826762433608842</v>
          </cell>
          <cell r="K47">
            <v>1.5760848466926198</v>
          </cell>
          <cell r="L47">
            <v>1.6438564951004024</v>
          </cell>
          <cell r="M47">
            <v>1.6865967639730128</v>
          </cell>
          <cell r="P47">
            <v>33848</v>
          </cell>
          <cell r="Q47">
            <v>5.2999999999999936E-2</v>
          </cell>
        </row>
        <row r="48">
          <cell r="A48">
            <v>33878</v>
          </cell>
          <cell r="B48">
            <v>1.0289999999999999</v>
          </cell>
          <cell r="F48">
            <v>1.0289999999999999</v>
          </cell>
          <cell r="G48">
            <v>1.1535089999999999</v>
          </cell>
          <cell r="H48">
            <v>1.2561713009999997</v>
          </cell>
          <cell r="I48">
            <v>1.3591773476819997</v>
          </cell>
          <cell r="J48">
            <v>1.4488830526290117</v>
          </cell>
          <cell r="K48">
            <v>1.5401626849446395</v>
          </cell>
          <cell r="L48">
            <v>1.6063896803972588</v>
          </cell>
          <cell r="M48">
            <v>1.6481558120875877</v>
          </cell>
          <cell r="P48">
            <v>33878</v>
          </cell>
          <cell r="Q48">
            <v>2.8999999999999915E-2</v>
          </cell>
        </row>
        <row r="49">
          <cell r="A49">
            <v>33909</v>
          </cell>
          <cell r="B49">
            <v>1.014</v>
          </cell>
          <cell r="F49">
            <v>1.014</v>
          </cell>
          <cell r="G49">
            <v>1.1366940000000001</v>
          </cell>
          <cell r="H49">
            <v>1.2378597660000001</v>
          </cell>
          <cell r="I49">
            <v>1.3393642668120003</v>
          </cell>
          <cell r="J49">
            <v>1.4277623084215925</v>
          </cell>
          <cell r="K49">
            <v>1.5177113338521526</v>
          </cell>
          <cell r="L49">
            <v>1.582972921207795</v>
          </cell>
          <cell r="M49">
            <v>1.6241302171591976</v>
          </cell>
          <cell r="P49">
            <v>33909</v>
          </cell>
          <cell r="Q49">
            <v>1.4000000000000012E-2</v>
          </cell>
        </row>
        <row r="50">
          <cell r="A50">
            <v>33939</v>
          </cell>
          <cell r="B50">
            <v>1</v>
          </cell>
          <cell r="F50">
            <v>1</v>
          </cell>
          <cell r="G50">
            <v>1.121</v>
          </cell>
          <cell r="H50">
            <v>1.220769</v>
          </cell>
          <cell r="I50">
            <v>1.3208720580000002</v>
          </cell>
          <cell r="J50">
            <v>1.4080496138280003</v>
          </cell>
          <cell r="K50">
            <v>1.4967567394991643</v>
          </cell>
          <cell r="L50">
            <v>1.5611172792976282</v>
          </cell>
          <cell r="M50">
            <v>1.6017063285593667</v>
          </cell>
          <cell r="P50">
            <v>33939</v>
          </cell>
          <cell r="Q50">
            <v>0</v>
          </cell>
        </row>
        <row r="51">
          <cell r="A51">
            <v>33970</v>
          </cell>
          <cell r="B51">
            <v>1.1200000000000001</v>
          </cell>
          <cell r="G51">
            <v>1.1200000000000001</v>
          </cell>
          <cell r="H51">
            <v>1.2196800000000001</v>
          </cell>
          <cell r="I51">
            <v>1.3196937600000003</v>
          </cell>
          <cell r="J51">
            <v>1.4067935481600005</v>
          </cell>
          <cell r="K51">
            <v>1.4954215416940804</v>
          </cell>
          <cell r="L51">
            <v>1.5597246679869257</v>
          </cell>
          <cell r="M51">
            <v>1.6002775093545858</v>
          </cell>
          <cell r="P51">
            <v>33970</v>
          </cell>
          <cell r="Q51">
            <v>0.12</v>
          </cell>
        </row>
        <row r="52">
          <cell r="A52">
            <v>34001</v>
          </cell>
          <cell r="B52">
            <v>1.1180000000000001</v>
          </cell>
          <cell r="G52">
            <v>1.1180000000000001</v>
          </cell>
          <cell r="H52">
            <v>1.2175020000000001</v>
          </cell>
          <cell r="I52">
            <v>1.3173371640000002</v>
          </cell>
          <cell r="J52">
            <v>1.4042814168240003</v>
          </cell>
          <cell r="K52">
            <v>1.4927511460839122</v>
          </cell>
          <cell r="L52">
            <v>1.5569394453655203</v>
          </cell>
          <cell r="M52">
            <v>1.5974198709450238</v>
          </cell>
          <cell r="P52">
            <v>34001</v>
          </cell>
          <cell r="Q52">
            <v>0.1180000000000001</v>
          </cell>
        </row>
        <row r="53">
          <cell r="A53">
            <v>34029</v>
          </cell>
          <cell r="B53">
            <v>1.1140000000000001</v>
          </cell>
          <cell r="G53">
            <v>1.1140000000000001</v>
          </cell>
          <cell r="H53">
            <v>1.2131460000000001</v>
          </cell>
          <cell r="I53">
            <v>1.3126239720000001</v>
          </cell>
          <cell r="J53">
            <v>1.3992571541520002</v>
          </cell>
          <cell r="K53">
            <v>1.4874103548635762</v>
          </cell>
          <cell r="L53">
            <v>1.5513690001227098</v>
          </cell>
          <cell r="M53">
            <v>1.5917045941259003</v>
          </cell>
          <cell r="P53">
            <v>34029</v>
          </cell>
          <cell r="Q53">
            <v>0.1140000000000001</v>
          </cell>
        </row>
        <row r="54">
          <cell r="A54">
            <v>34060</v>
          </cell>
          <cell r="B54">
            <v>1.107</v>
          </cell>
          <cell r="G54">
            <v>1.107</v>
          </cell>
          <cell r="H54">
            <v>1.2055229999999999</v>
          </cell>
          <cell r="I54">
            <v>1.3043758859999999</v>
          </cell>
          <cell r="J54">
            <v>1.390464694476</v>
          </cell>
          <cell r="K54">
            <v>1.4780639702279879</v>
          </cell>
          <cell r="L54">
            <v>1.5416207209477912</v>
          </cell>
          <cell r="M54">
            <v>1.5817028596924338</v>
          </cell>
          <cell r="P54">
            <v>34060</v>
          </cell>
          <cell r="Q54">
            <v>0.10699999999999998</v>
          </cell>
        </row>
        <row r="55">
          <cell r="A55">
            <v>34090</v>
          </cell>
          <cell r="B55">
            <v>1.0920000000000001</v>
          </cell>
          <cell r="G55">
            <v>1.0920000000000001</v>
          </cell>
          <cell r="H55">
            <v>1.1891880000000001</v>
          </cell>
          <cell r="I55">
            <v>1.2867014160000003</v>
          </cell>
          <cell r="J55">
            <v>1.3716237094560004</v>
          </cell>
          <cell r="K55">
            <v>1.4580360031517283</v>
          </cell>
          <cell r="L55">
            <v>1.5207315512872526</v>
          </cell>
          <cell r="M55">
            <v>1.5602705716207212</v>
          </cell>
          <cell r="P55">
            <v>34090</v>
          </cell>
          <cell r="Q55">
            <v>9.2000000000000082E-2</v>
          </cell>
        </row>
        <row r="56">
          <cell r="A56">
            <v>34121</v>
          </cell>
          <cell r="B56">
            <v>1.0760000000000001</v>
          </cell>
          <cell r="G56">
            <v>1.0760000000000001</v>
          </cell>
          <cell r="H56">
            <v>1.171764</v>
          </cell>
          <cell r="I56">
            <v>1.2678486480000002</v>
          </cell>
          <cell r="J56">
            <v>1.3515266587680004</v>
          </cell>
          <cell r="K56">
            <v>1.4366728382703844</v>
          </cell>
          <cell r="L56">
            <v>1.4984497703160109</v>
          </cell>
          <cell r="M56">
            <v>1.5374094643442273</v>
          </cell>
          <cell r="P56">
            <v>34121</v>
          </cell>
          <cell r="Q56">
            <v>7.6000000000000068E-2</v>
          </cell>
        </row>
        <row r="57">
          <cell r="A57">
            <v>34151</v>
          </cell>
          <cell r="B57">
            <v>1.071</v>
          </cell>
          <cell r="G57">
            <v>1.071</v>
          </cell>
          <cell r="H57">
            <v>1.1663189999999999</v>
          </cell>
          <cell r="I57">
            <v>1.261957158</v>
          </cell>
          <cell r="J57">
            <v>1.345246330428</v>
          </cell>
          <cell r="K57">
            <v>1.429996849244964</v>
          </cell>
          <cell r="L57">
            <v>1.4914867137624972</v>
          </cell>
          <cell r="M57">
            <v>1.5302653683203222</v>
          </cell>
          <cell r="P57">
            <v>34151</v>
          </cell>
          <cell r="Q57">
            <v>7.0999999999999952E-2</v>
          </cell>
        </row>
        <row r="58">
          <cell r="A58">
            <v>34182</v>
          </cell>
          <cell r="B58">
            <v>1.0609999999999999</v>
          </cell>
          <cell r="G58">
            <v>1.0609999999999999</v>
          </cell>
          <cell r="H58">
            <v>1.1554289999999998</v>
          </cell>
          <cell r="I58">
            <v>1.250174178</v>
          </cell>
          <cell r="J58">
            <v>1.332685673748</v>
          </cell>
          <cell r="K58">
            <v>1.416644871194124</v>
          </cell>
          <cell r="L58">
            <v>1.4775606006554711</v>
          </cell>
          <cell r="M58">
            <v>1.5159771762725134</v>
          </cell>
          <cell r="P58">
            <v>34182</v>
          </cell>
          <cell r="Q58">
            <v>6.0999999999999943E-2</v>
          </cell>
        </row>
        <row r="59">
          <cell r="A59">
            <v>34213</v>
          </cell>
          <cell r="B59">
            <v>1.0389999999999999</v>
          </cell>
          <cell r="G59">
            <v>1.0389999999999999</v>
          </cell>
          <cell r="H59">
            <v>1.1314709999999999</v>
          </cell>
          <cell r="I59">
            <v>1.2242516219999999</v>
          </cell>
          <cell r="J59">
            <v>1.3050522290519999</v>
          </cell>
          <cell r="K59">
            <v>1.3872705194822759</v>
          </cell>
          <cell r="L59">
            <v>1.4469231518200136</v>
          </cell>
          <cell r="M59">
            <v>1.4845431537673339</v>
          </cell>
          <cell r="P59">
            <v>34213</v>
          </cell>
          <cell r="Q59">
            <v>3.8999999999999924E-2</v>
          </cell>
        </row>
        <row r="60">
          <cell r="A60">
            <v>34243</v>
          </cell>
          <cell r="B60">
            <v>1.0269999999999999</v>
          </cell>
          <cell r="G60">
            <v>1.0269999999999999</v>
          </cell>
          <cell r="H60">
            <v>1.1184029999999998</v>
          </cell>
          <cell r="I60">
            <v>1.2101120459999999</v>
          </cell>
          <cell r="J60">
            <v>1.2899794410359999</v>
          </cell>
          <cell r="K60">
            <v>1.3712481458212677</v>
          </cell>
          <cell r="L60">
            <v>1.4302118160915822</v>
          </cell>
          <cell r="M60">
            <v>1.4673973233099633</v>
          </cell>
          <cell r="P60">
            <v>34243</v>
          </cell>
          <cell r="Q60">
            <v>2.6999999999999913E-2</v>
          </cell>
        </row>
        <row r="61">
          <cell r="A61">
            <v>34274</v>
          </cell>
          <cell r="B61">
            <v>1.0009999999999999</v>
          </cell>
          <cell r="G61">
            <v>1.0009999999999999</v>
          </cell>
          <cell r="H61">
            <v>1.0900889999999999</v>
          </cell>
          <cell r="I61">
            <v>1.179476298</v>
          </cell>
          <cell r="J61">
            <v>1.257321733668</v>
          </cell>
          <cell r="K61">
            <v>1.3365330028890841</v>
          </cell>
          <cell r="L61">
            <v>1.3940039220133145</v>
          </cell>
          <cell r="M61">
            <v>1.4302480239856608</v>
          </cell>
          <cell r="P61">
            <v>34274</v>
          </cell>
          <cell r="Q61">
            <v>9.9999999999988987E-4</v>
          </cell>
        </row>
        <row r="62">
          <cell r="A62">
            <v>34304</v>
          </cell>
          <cell r="B62">
            <v>1</v>
          </cell>
          <cell r="G62">
            <v>1</v>
          </cell>
          <cell r="H62">
            <v>1.089</v>
          </cell>
          <cell r="I62">
            <v>1.1782980000000001</v>
          </cell>
          <cell r="J62">
            <v>1.2560656680000002</v>
          </cell>
          <cell r="K62">
            <v>1.3351978050840001</v>
          </cell>
          <cell r="L62">
            <v>1.3926113107026119</v>
          </cell>
          <cell r="M62">
            <v>1.4288192047808799</v>
          </cell>
          <cell r="P62">
            <v>34304</v>
          </cell>
          <cell r="Q62">
            <v>0</v>
          </cell>
        </row>
        <row r="63">
          <cell r="A63">
            <v>34335</v>
          </cell>
          <cell r="B63">
            <v>1.0860000000000001</v>
          </cell>
          <cell r="G63">
            <v>0</v>
          </cell>
          <cell r="H63">
            <v>1.0860000000000001</v>
          </cell>
          <cell r="I63">
            <v>1.1750520000000002</v>
          </cell>
          <cell r="J63">
            <v>1.2526054320000002</v>
          </cell>
          <cell r="K63">
            <v>1.3315195742160002</v>
          </cell>
          <cell r="L63">
            <v>1.3887749159072882</v>
          </cell>
          <cell r="M63">
            <v>1.4248830637208778</v>
          </cell>
          <cell r="P63">
            <v>34335</v>
          </cell>
          <cell r="Q63">
            <v>8.6000000000000076E-2</v>
          </cell>
        </row>
        <row r="64">
          <cell r="A64">
            <v>34366</v>
          </cell>
          <cell r="B64">
            <v>1.075</v>
          </cell>
          <cell r="G64">
            <v>0</v>
          </cell>
          <cell r="H64">
            <v>1.075</v>
          </cell>
          <cell r="I64">
            <v>1.1631500000000001</v>
          </cell>
          <cell r="J64">
            <v>1.2399179000000002</v>
          </cell>
          <cell r="K64">
            <v>1.3180327277000001</v>
          </cell>
          <cell r="L64">
            <v>1.3747081349911001</v>
          </cell>
          <cell r="M64">
            <v>1.4104505465008688</v>
          </cell>
          <cell r="P64">
            <v>34366</v>
          </cell>
          <cell r="Q64">
            <v>7.4999999999999997E-2</v>
          </cell>
        </row>
        <row r="65">
          <cell r="A65">
            <v>34394</v>
          </cell>
          <cell r="B65">
            <v>1.0720000000000001</v>
          </cell>
          <cell r="G65">
            <v>0</v>
          </cell>
          <cell r="H65">
            <v>1.0720000000000001</v>
          </cell>
          <cell r="I65">
            <v>1.159904</v>
          </cell>
          <cell r="J65">
            <v>1.236457664</v>
          </cell>
          <cell r="K65">
            <v>1.314354496832</v>
          </cell>
          <cell r="L65">
            <v>1.370871740195776</v>
          </cell>
          <cell r="M65">
            <v>1.4065144054408663</v>
          </cell>
          <cell r="P65">
            <v>34394</v>
          </cell>
          <cell r="Q65">
            <v>7.2000000000000064E-2</v>
          </cell>
        </row>
        <row r="66">
          <cell r="A66">
            <v>34425</v>
          </cell>
          <cell r="B66">
            <v>1.06</v>
          </cell>
          <cell r="G66">
            <v>0</v>
          </cell>
          <cell r="H66">
            <v>1.06</v>
          </cell>
          <cell r="I66">
            <v>1.1469200000000002</v>
          </cell>
          <cell r="J66">
            <v>1.2226167200000002</v>
          </cell>
          <cell r="K66">
            <v>1.2996415733600002</v>
          </cell>
          <cell r="L66">
            <v>1.3555261610144802</v>
          </cell>
          <cell r="M66">
            <v>1.3907698412008567</v>
          </cell>
          <cell r="P66">
            <v>34425</v>
          </cell>
          <cell r="Q66">
            <v>6.0000000000000053E-2</v>
          </cell>
        </row>
        <row r="67">
          <cell r="A67">
            <v>34455</v>
          </cell>
          <cell r="B67">
            <v>1.0549999999999999</v>
          </cell>
          <cell r="G67">
            <v>0</v>
          </cell>
          <cell r="H67">
            <v>1.0549999999999999</v>
          </cell>
          <cell r="I67">
            <v>1.14151</v>
          </cell>
          <cell r="J67">
            <v>1.2168496600000001</v>
          </cell>
          <cell r="K67">
            <v>1.2935111885799999</v>
          </cell>
          <cell r="L67">
            <v>1.3491321696889398</v>
          </cell>
          <cell r="M67">
            <v>1.3842096061008522</v>
          </cell>
          <cell r="P67">
            <v>34455</v>
          </cell>
          <cell r="Q67">
            <v>5.4999999999999938E-2</v>
          </cell>
        </row>
        <row r="68">
          <cell r="A68">
            <v>34486</v>
          </cell>
          <cell r="B68">
            <v>1.04</v>
          </cell>
          <cell r="G68">
            <v>0</v>
          </cell>
          <cell r="H68">
            <v>1.04</v>
          </cell>
          <cell r="I68">
            <v>1.1252800000000001</v>
          </cell>
          <cell r="J68">
            <v>1.19954848</v>
          </cell>
          <cell r="K68">
            <v>1.27512003424</v>
          </cell>
          <cell r="L68">
            <v>1.3299501957123199</v>
          </cell>
          <cell r="M68">
            <v>1.3645289008008403</v>
          </cell>
          <cell r="P68">
            <v>34486</v>
          </cell>
          <cell r="Q68">
            <v>0.04</v>
          </cell>
        </row>
        <row r="69">
          <cell r="A69">
            <v>34516</v>
          </cell>
          <cell r="B69">
            <v>1.034</v>
          </cell>
          <cell r="G69">
            <v>0</v>
          </cell>
          <cell r="H69">
            <v>1.034</v>
          </cell>
          <cell r="I69">
            <v>1.1187880000000001</v>
          </cell>
          <cell r="J69">
            <v>1.1926280080000002</v>
          </cell>
          <cell r="K69">
            <v>1.2677635725040002</v>
          </cell>
          <cell r="L69">
            <v>1.322277406121672</v>
          </cell>
          <cell r="M69">
            <v>1.3566566186808355</v>
          </cell>
          <cell r="P69">
            <v>34516</v>
          </cell>
          <cell r="Q69">
            <v>3.400000000000003E-2</v>
          </cell>
        </row>
        <row r="70">
          <cell r="A70">
            <v>34547</v>
          </cell>
          <cell r="B70">
            <v>1.028</v>
          </cell>
          <cell r="G70">
            <v>0</v>
          </cell>
          <cell r="H70">
            <v>1.028</v>
          </cell>
          <cell r="I70">
            <v>1.1122960000000002</v>
          </cell>
          <cell r="J70">
            <v>1.1857075360000002</v>
          </cell>
          <cell r="K70">
            <v>1.2604071107680002</v>
          </cell>
          <cell r="L70">
            <v>1.3146046165310241</v>
          </cell>
          <cell r="M70">
            <v>1.3487843365608307</v>
          </cell>
          <cell r="P70">
            <v>34547</v>
          </cell>
          <cell r="Q70">
            <v>2.8000000000000025E-2</v>
          </cell>
        </row>
        <row r="71">
          <cell r="A71">
            <v>34578</v>
          </cell>
          <cell r="B71">
            <v>1.0169999999999999</v>
          </cell>
          <cell r="G71">
            <v>0</v>
          </cell>
          <cell r="H71">
            <v>1.0169999999999999</v>
          </cell>
          <cell r="I71">
            <v>1.1003939999999999</v>
          </cell>
          <cell r="J71">
            <v>1.1730200039999998</v>
          </cell>
          <cell r="K71">
            <v>1.2469202642519999</v>
          </cell>
          <cell r="L71">
            <v>1.3005378356148358</v>
          </cell>
          <cell r="M71">
            <v>1.3343518193408215</v>
          </cell>
          <cell r="P71">
            <v>34578</v>
          </cell>
          <cell r="Q71">
            <v>1.6999999999999904E-2</v>
          </cell>
        </row>
        <row r="72">
          <cell r="A72">
            <v>34608</v>
          </cell>
          <cell r="B72">
            <v>1.012</v>
          </cell>
          <cell r="G72">
            <v>0</v>
          </cell>
          <cell r="H72">
            <v>1.012</v>
          </cell>
          <cell r="I72">
            <v>1.0949840000000002</v>
          </cell>
          <cell r="J72">
            <v>1.1672529440000003</v>
          </cell>
          <cell r="K72">
            <v>1.2407898794720003</v>
          </cell>
          <cell r="L72">
            <v>1.2941438442892961</v>
          </cell>
          <cell r="M72">
            <v>1.3277915842408179</v>
          </cell>
          <cell r="P72">
            <v>34608</v>
          </cell>
          <cell r="Q72">
            <v>1.2000000000000011E-2</v>
          </cell>
        </row>
        <row r="73">
          <cell r="A73">
            <v>34639</v>
          </cell>
          <cell r="B73">
            <v>1.006</v>
          </cell>
          <cell r="G73">
            <v>0</v>
          </cell>
          <cell r="H73">
            <v>1.006</v>
          </cell>
          <cell r="I73">
            <v>1.088492</v>
          </cell>
          <cell r="J73">
            <v>1.1603324720000001</v>
          </cell>
          <cell r="K73">
            <v>1.233433417736</v>
          </cell>
          <cell r="L73">
            <v>1.286471054698648</v>
          </cell>
          <cell r="M73">
            <v>1.3199193021208129</v>
          </cell>
          <cell r="P73">
            <v>34639</v>
          </cell>
          <cell r="Q73">
            <v>6.0000000000000053E-3</v>
          </cell>
        </row>
        <row r="74">
          <cell r="A74">
            <v>34669</v>
          </cell>
          <cell r="B74">
            <v>1</v>
          </cell>
          <cell r="G74">
            <v>0</v>
          </cell>
          <cell r="H74">
            <v>1</v>
          </cell>
          <cell r="I74">
            <v>1.0820000000000001</v>
          </cell>
          <cell r="J74">
            <v>1.1534120000000001</v>
          </cell>
          <cell r="K74">
            <v>1.226076956</v>
          </cell>
          <cell r="L74">
            <v>1.2787982651079999</v>
          </cell>
          <cell r="M74">
            <v>1.3120470200008079</v>
          </cell>
          <cell r="P74">
            <v>34669</v>
          </cell>
          <cell r="Q74">
            <v>0</v>
          </cell>
        </row>
        <row r="75">
          <cell r="A75">
            <v>34700</v>
          </cell>
          <cell r="B75">
            <v>1.079</v>
          </cell>
          <cell r="G75">
            <v>0</v>
          </cell>
          <cell r="H75">
            <v>0</v>
          </cell>
          <cell r="I75">
            <v>1.079</v>
          </cell>
          <cell r="J75">
            <v>1.1502140000000001</v>
          </cell>
          <cell r="K75">
            <v>1.2226774819999999</v>
          </cell>
          <cell r="L75">
            <v>1.2752526137259999</v>
          </cell>
          <cell r="M75">
            <v>1.3084091816828758</v>
          </cell>
          <cell r="P75">
            <v>34700</v>
          </cell>
          <cell r="Q75">
            <v>7.8999999999999959E-2</v>
          </cell>
        </row>
        <row r="76">
          <cell r="A76">
            <v>34731</v>
          </cell>
          <cell r="B76">
            <v>1.0720000000000001</v>
          </cell>
          <cell r="G76">
            <v>0</v>
          </cell>
          <cell r="H76">
            <v>0</v>
          </cell>
          <cell r="I76">
            <v>1.0720000000000001</v>
          </cell>
          <cell r="J76">
            <v>1.1427520000000002</v>
          </cell>
          <cell r="K76">
            <v>1.2147453760000002</v>
          </cell>
          <cell r="L76">
            <v>1.2669794271680002</v>
          </cell>
          <cell r="M76">
            <v>1.2999208922743681</v>
          </cell>
          <cell r="P76">
            <v>34731</v>
          </cell>
          <cell r="Q76">
            <v>7.2000000000000064E-2</v>
          </cell>
        </row>
        <row r="77">
          <cell r="A77">
            <v>34759</v>
          </cell>
          <cell r="B77">
            <v>1.0669999999999999</v>
          </cell>
          <cell r="G77">
            <v>0</v>
          </cell>
          <cell r="H77">
            <v>0</v>
          </cell>
          <cell r="I77">
            <v>1.0669999999999999</v>
          </cell>
          <cell r="J77">
            <v>1.1374219999999999</v>
          </cell>
          <cell r="K77">
            <v>1.2090795859999999</v>
          </cell>
          <cell r="L77">
            <v>1.2610700081979997</v>
          </cell>
          <cell r="M77">
            <v>1.2938578284111477</v>
          </cell>
          <cell r="P77">
            <v>34759</v>
          </cell>
          <cell r="Q77">
            <v>6.6999999999999948E-2</v>
          </cell>
        </row>
        <row r="78">
          <cell r="A78">
            <v>34790</v>
          </cell>
          <cell r="B78">
            <v>1.06</v>
          </cell>
          <cell r="G78">
            <v>0</v>
          </cell>
          <cell r="H78">
            <v>0</v>
          </cell>
          <cell r="I78">
            <v>1.06</v>
          </cell>
          <cell r="J78">
            <v>1.1299600000000001</v>
          </cell>
          <cell r="K78">
            <v>1.2011474799999999</v>
          </cell>
          <cell r="L78">
            <v>1.2527968216399998</v>
          </cell>
          <cell r="M78">
            <v>1.2853695390026398</v>
          </cell>
          <cell r="P78">
            <v>34790</v>
          </cell>
          <cell r="Q78">
            <v>6.0000000000000053E-2</v>
          </cell>
        </row>
        <row r="79">
          <cell r="A79">
            <v>34820</v>
          </cell>
          <cell r="B79">
            <v>1.054</v>
          </cell>
          <cell r="G79">
            <v>0</v>
          </cell>
          <cell r="H79">
            <v>0</v>
          </cell>
          <cell r="I79">
            <v>1.054</v>
          </cell>
          <cell r="J79">
            <v>1.123564</v>
          </cell>
          <cell r="K79">
            <v>1.194348532</v>
          </cell>
          <cell r="L79">
            <v>1.245705518876</v>
          </cell>
          <cell r="M79">
            <v>1.2780938623667761</v>
          </cell>
          <cell r="P79">
            <v>34820</v>
          </cell>
          <cell r="Q79">
            <v>5.4000000000000048E-2</v>
          </cell>
        </row>
        <row r="80">
          <cell r="A80">
            <v>34851</v>
          </cell>
          <cell r="B80">
            <v>1.0469999999999999</v>
          </cell>
          <cell r="G80">
            <v>0</v>
          </cell>
          <cell r="H80">
            <v>0</v>
          </cell>
          <cell r="I80">
            <v>1.0469999999999999</v>
          </cell>
          <cell r="J80">
            <v>1.1161019999999999</v>
          </cell>
          <cell r="K80">
            <v>1.1864164259999999</v>
          </cell>
          <cell r="L80">
            <v>1.2374323323179999</v>
          </cell>
          <cell r="M80">
            <v>1.2696055729582678</v>
          </cell>
          <cell r="P80">
            <v>34851</v>
          </cell>
          <cell r="Q80">
            <v>4.6999999999999931E-2</v>
          </cell>
        </row>
        <row r="81">
          <cell r="A81">
            <v>34881</v>
          </cell>
          <cell r="B81">
            <v>1.04</v>
          </cell>
          <cell r="G81">
            <v>0</v>
          </cell>
          <cell r="H81">
            <v>0</v>
          </cell>
          <cell r="I81">
            <v>1.04</v>
          </cell>
          <cell r="J81">
            <v>1.1086400000000001</v>
          </cell>
          <cell r="K81">
            <v>1.1784843199999999</v>
          </cell>
          <cell r="L81">
            <v>1.2291591457599997</v>
          </cell>
          <cell r="M81">
            <v>1.2611172835497597</v>
          </cell>
          <cell r="P81">
            <v>34881</v>
          </cell>
          <cell r="Q81">
            <v>0.04</v>
          </cell>
        </row>
        <row r="82">
          <cell r="A82">
            <v>34912</v>
          </cell>
          <cell r="B82">
            <v>1.0309999999999999</v>
          </cell>
          <cell r="G82">
            <v>0</v>
          </cell>
          <cell r="H82">
            <v>0</v>
          </cell>
          <cell r="I82">
            <v>1.0309999999999999</v>
          </cell>
          <cell r="J82">
            <v>1.099046</v>
          </cell>
          <cell r="K82">
            <v>1.1682858979999999</v>
          </cell>
          <cell r="L82">
            <v>1.2185221916139999</v>
          </cell>
          <cell r="M82">
            <v>1.2502037685959639</v>
          </cell>
          <cell r="P82">
            <v>34912</v>
          </cell>
          <cell r="Q82">
            <v>3.0999999999999917E-2</v>
          </cell>
        </row>
        <row r="83">
          <cell r="A83">
            <v>34943</v>
          </cell>
          <cell r="B83">
            <v>1.014</v>
          </cell>
          <cell r="G83">
            <v>0</v>
          </cell>
          <cell r="H83">
            <v>0</v>
          </cell>
          <cell r="I83">
            <v>1.014</v>
          </cell>
          <cell r="J83">
            <v>1.080924</v>
          </cell>
          <cell r="K83">
            <v>1.149022212</v>
          </cell>
          <cell r="L83">
            <v>1.1984301671159998</v>
          </cell>
          <cell r="M83">
            <v>1.2295893514610159</v>
          </cell>
          <cell r="P83">
            <v>34943</v>
          </cell>
          <cell r="Q83">
            <v>1.4000000000000012E-2</v>
          </cell>
        </row>
        <row r="84">
          <cell r="A84">
            <v>34973</v>
          </cell>
          <cell r="B84">
            <v>1.008</v>
          </cell>
          <cell r="G84">
            <v>0</v>
          </cell>
          <cell r="H84">
            <v>0</v>
          </cell>
          <cell r="I84">
            <v>1.008</v>
          </cell>
          <cell r="J84">
            <v>1.0745280000000001</v>
          </cell>
          <cell r="K84">
            <v>1.1422232640000001</v>
          </cell>
          <cell r="L84">
            <v>1.191338864352</v>
          </cell>
          <cell r="M84">
            <v>1.222313674825152</v>
          </cell>
          <cell r="P84">
            <v>34973</v>
          </cell>
          <cell r="Q84">
            <v>8.0000000000000071E-3</v>
          </cell>
        </row>
        <row r="85">
          <cell r="A85">
            <v>35004</v>
          </cell>
          <cell r="B85">
            <v>1.0009999999999999</v>
          </cell>
          <cell r="G85">
            <v>0</v>
          </cell>
          <cell r="H85">
            <v>0</v>
          </cell>
          <cell r="I85">
            <v>1.0009999999999999</v>
          </cell>
          <cell r="J85">
            <v>1.0670659999999998</v>
          </cell>
          <cell r="K85">
            <v>1.1342911579999997</v>
          </cell>
          <cell r="L85">
            <v>1.1830656777939996</v>
          </cell>
          <cell r="M85">
            <v>1.2138253854166436</v>
          </cell>
          <cell r="P85">
            <v>35004</v>
          </cell>
          <cell r="Q85">
            <v>9.9999999999988987E-4</v>
          </cell>
        </row>
        <row r="86">
          <cell r="A86">
            <v>35034</v>
          </cell>
          <cell r="B86">
            <v>1</v>
          </cell>
          <cell r="G86">
            <v>0</v>
          </cell>
          <cell r="H86">
            <v>0</v>
          </cell>
          <cell r="I86">
            <v>1</v>
          </cell>
          <cell r="J86">
            <v>1.0660000000000001</v>
          </cell>
          <cell r="K86">
            <v>1.1331580000000001</v>
          </cell>
          <cell r="L86">
            <v>1.181883794</v>
          </cell>
          <cell r="M86">
            <v>1.2126127726439999</v>
          </cell>
          <cell r="P86">
            <v>35034</v>
          </cell>
          <cell r="Q86">
            <v>0</v>
          </cell>
        </row>
        <row r="87">
          <cell r="A87">
            <v>35065</v>
          </cell>
          <cell r="B87">
            <v>1.0620000000000001</v>
          </cell>
          <cell r="G87">
            <v>0</v>
          </cell>
          <cell r="H87">
            <v>0</v>
          </cell>
          <cell r="I87">
            <v>0</v>
          </cell>
          <cell r="J87">
            <v>1.0620000000000001</v>
          </cell>
          <cell r="K87">
            <v>1.128906</v>
          </cell>
          <cell r="L87">
            <v>1.1774489579999998</v>
          </cell>
          <cell r="M87">
            <v>1.2080626309079998</v>
          </cell>
          <cell r="P87">
            <v>35065</v>
          </cell>
          <cell r="Q87">
            <v>6.2000000000000055E-2</v>
          </cell>
        </row>
        <row r="88">
          <cell r="A88">
            <v>35096</v>
          </cell>
          <cell r="B88">
            <v>1.06</v>
          </cell>
          <cell r="G88">
            <v>0</v>
          </cell>
          <cell r="H88">
            <v>0</v>
          </cell>
          <cell r="I88">
            <v>0</v>
          </cell>
          <cell r="J88">
            <v>1.06</v>
          </cell>
          <cell r="K88">
            <v>1.1267799999999999</v>
          </cell>
          <cell r="L88">
            <v>1.1752315399999997</v>
          </cell>
          <cell r="M88">
            <v>1.2057875600399997</v>
          </cell>
          <cell r="P88">
            <v>35096</v>
          </cell>
          <cell r="Q88">
            <v>6.0000000000000053E-2</v>
          </cell>
        </row>
        <row r="89">
          <cell r="A89">
            <v>35125</v>
          </cell>
          <cell r="B89">
            <v>1.054</v>
          </cell>
          <cell r="G89">
            <v>0</v>
          </cell>
          <cell r="H89">
            <v>0</v>
          </cell>
          <cell r="I89">
            <v>0</v>
          </cell>
          <cell r="J89">
            <v>1.054</v>
          </cell>
          <cell r="K89">
            <v>1.1204019999999999</v>
          </cell>
          <cell r="L89">
            <v>1.1685792859999997</v>
          </cell>
          <cell r="M89">
            <v>1.1989623474359998</v>
          </cell>
          <cell r="P89">
            <v>35125</v>
          </cell>
          <cell r="Q89">
            <v>5.4000000000000048E-2</v>
          </cell>
        </row>
        <row r="90">
          <cell r="A90">
            <v>35156</v>
          </cell>
          <cell r="B90">
            <v>1.0469999999999999</v>
          </cell>
          <cell r="G90">
            <v>0</v>
          </cell>
          <cell r="H90">
            <v>0</v>
          </cell>
          <cell r="I90">
            <v>0</v>
          </cell>
          <cell r="J90">
            <v>1.0469999999999999</v>
          </cell>
          <cell r="K90">
            <v>1.1129609999999999</v>
          </cell>
          <cell r="L90">
            <v>1.1608183229999998</v>
          </cell>
          <cell r="M90">
            <v>1.1909995993979998</v>
          </cell>
          <cell r="P90">
            <v>35156</v>
          </cell>
          <cell r="Q90">
            <v>4.6999999999999931E-2</v>
          </cell>
        </row>
        <row r="91">
          <cell r="A91">
            <v>35186</v>
          </cell>
          <cell r="B91">
            <v>1.036</v>
          </cell>
          <cell r="G91">
            <v>0</v>
          </cell>
          <cell r="H91">
            <v>0</v>
          </cell>
          <cell r="I91">
            <v>0</v>
          </cell>
          <cell r="J91">
            <v>1.036</v>
          </cell>
          <cell r="K91">
            <v>1.1012679999999999</v>
          </cell>
          <cell r="L91">
            <v>1.1486225239999999</v>
          </cell>
          <cell r="M91">
            <v>1.1784867096239999</v>
          </cell>
          <cell r="P91">
            <v>35186</v>
          </cell>
          <cell r="Q91">
            <v>3.6000000000000032E-2</v>
          </cell>
        </row>
        <row r="92">
          <cell r="A92">
            <v>35217</v>
          </cell>
          <cell r="B92">
            <v>1.028</v>
          </cell>
          <cell r="G92">
            <v>0</v>
          </cell>
          <cell r="H92">
            <v>0</v>
          </cell>
          <cell r="I92">
            <v>0</v>
          </cell>
          <cell r="J92">
            <v>1.028</v>
          </cell>
          <cell r="K92">
            <v>1.0927640000000001</v>
          </cell>
          <cell r="L92">
            <v>1.139752852</v>
          </cell>
          <cell r="M92">
            <v>1.1693864261519999</v>
          </cell>
          <cell r="P92">
            <v>35217</v>
          </cell>
          <cell r="Q92">
            <v>2.8000000000000025E-2</v>
          </cell>
        </row>
        <row r="93">
          <cell r="A93">
            <v>35247</v>
          </cell>
          <cell r="B93">
            <v>1.0229999999999999</v>
          </cell>
          <cell r="G93">
            <v>0</v>
          </cell>
          <cell r="H93">
            <v>0</v>
          </cell>
          <cell r="I93">
            <v>0</v>
          </cell>
          <cell r="J93">
            <v>1.0229999999999999</v>
          </cell>
          <cell r="K93">
            <v>1.0874489999999999</v>
          </cell>
          <cell r="L93">
            <v>1.1342093069999999</v>
          </cell>
          <cell r="M93">
            <v>1.1636987489819999</v>
          </cell>
          <cell r="P93">
            <v>35247</v>
          </cell>
          <cell r="Q93">
            <v>2.2999999999999909E-2</v>
          </cell>
        </row>
        <row r="94">
          <cell r="A94">
            <v>35278</v>
          </cell>
          <cell r="B94">
            <v>1.02</v>
          </cell>
          <cell r="G94">
            <v>0</v>
          </cell>
          <cell r="H94">
            <v>0</v>
          </cell>
          <cell r="I94">
            <v>0</v>
          </cell>
          <cell r="J94">
            <v>1.02</v>
          </cell>
          <cell r="K94">
            <v>1.08426</v>
          </cell>
          <cell r="L94">
            <v>1.1308831799999999</v>
          </cell>
          <cell r="M94">
            <v>1.16028614268</v>
          </cell>
          <cell r="P94">
            <v>35278</v>
          </cell>
          <cell r="Q94">
            <v>0.02</v>
          </cell>
        </row>
        <row r="95">
          <cell r="A95">
            <v>35309</v>
          </cell>
          <cell r="B95">
            <v>1.016</v>
          </cell>
          <cell r="G95">
            <v>0</v>
          </cell>
          <cell r="H95">
            <v>0</v>
          </cell>
          <cell r="I95">
            <v>0</v>
          </cell>
          <cell r="J95">
            <v>1.016</v>
          </cell>
          <cell r="K95">
            <v>1.0800079999999999</v>
          </cell>
          <cell r="L95">
            <v>1.1264483439999997</v>
          </cell>
          <cell r="M95">
            <v>1.1557360009439996</v>
          </cell>
          <cell r="P95">
            <v>35309</v>
          </cell>
          <cell r="Q95">
            <v>1.6000000000000014E-2</v>
          </cell>
        </row>
        <row r="96">
          <cell r="A96">
            <v>35339</v>
          </cell>
          <cell r="B96">
            <v>1.0109999999999999</v>
          </cell>
          <cell r="G96">
            <v>0</v>
          </cell>
          <cell r="H96">
            <v>0</v>
          </cell>
          <cell r="I96">
            <v>0</v>
          </cell>
          <cell r="J96">
            <v>1.0109999999999999</v>
          </cell>
          <cell r="K96">
            <v>1.0746929999999999</v>
          </cell>
          <cell r="L96">
            <v>1.1209047989999998</v>
          </cell>
          <cell r="M96">
            <v>1.1500483237739998</v>
          </cell>
          <cell r="P96">
            <v>35339</v>
          </cell>
          <cell r="Q96">
            <v>1.0999999999999899E-2</v>
          </cell>
        </row>
        <row r="97">
          <cell r="A97">
            <v>35370</v>
          </cell>
          <cell r="B97">
            <v>1.004</v>
          </cell>
          <cell r="G97">
            <v>0</v>
          </cell>
          <cell r="H97">
            <v>0</v>
          </cell>
          <cell r="I97">
            <v>0</v>
          </cell>
          <cell r="J97">
            <v>1.004</v>
          </cell>
          <cell r="K97">
            <v>1.0672519999999999</v>
          </cell>
          <cell r="L97">
            <v>1.1131438359999999</v>
          </cell>
          <cell r="M97">
            <v>1.142085575736</v>
          </cell>
          <cell r="P97">
            <v>35370</v>
          </cell>
          <cell r="Q97">
            <v>4.0000000000000036E-3</v>
          </cell>
        </row>
        <row r="98">
          <cell r="A98">
            <v>35400</v>
          </cell>
          <cell r="B98">
            <v>1</v>
          </cell>
          <cell r="G98">
            <v>0</v>
          </cell>
          <cell r="H98">
            <v>0</v>
          </cell>
          <cell r="I98">
            <v>0</v>
          </cell>
          <cell r="J98">
            <v>1</v>
          </cell>
          <cell r="K98">
            <v>1.0629999999999999</v>
          </cell>
          <cell r="L98">
            <v>1.1087089999999999</v>
          </cell>
          <cell r="M98">
            <v>1.1375354339999999</v>
          </cell>
          <cell r="P98">
            <v>35400</v>
          </cell>
          <cell r="Q98">
            <v>0</v>
          </cell>
        </row>
        <row r="99">
          <cell r="A99">
            <v>35431</v>
          </cell>
          <cell r="B99">
            <v>1.0589999999999999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1.0589999999999999</v>
          </cell>
          <cell r="L99">
            <v>1.1045369999999999</v>
          </cell>
          <cell r="M99">
            <v>1.1332549619999999</v>
          </cell>
          <cell r="P99">
            <v>35431</v>
          </cell>
          <cell r="Q99">
            <v>5.8999999999999941E-2</v>
          </cell>
        </row>
        <row r="100">
          <cell r="A100">
            <v>35462</v>
          </cell>
          <cell r="B100">
            <v>1.054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1.054</v>
          </cell>
          <cell r="L100">
            <v>1.0993219999999999</v>
          </cell>
          <cell r="M100">
            <v>1.1279043719999999</v>
          </cell>
          <cell r="P100">
            <v>35462</v>
          </cell>
          <cell r="Q100">
            <v>5.4000000000000048E-2</v>
          </cell>
        </row>
        <row r="101">
          <cell r="A101">
            <v>35490</v>
          </cell>
          <cell r="B101">
            <v>1.0449999999999999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1.0449999999999999</v>
          </cell>
          <cell r="L101">
            <v>1.0899349999999999</v>
          </cell>
          <cell r="M101">
            <v>1.11827331</v>
          </cell>
          <cell r="P101">
            <v>35490</v>
          </cell>
          <cell r="Q101">
            <v>4.4999999999999929E-2</v>
          </cell>
        </row>
        <row r="102">
          <cell r="A102">
            <v>35521</v>
          </cell>
          <cell r="B102">
            <v>1.042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1.042</v>
          </cell>
          <cell r="L102">
            <v>1.0868059999999999</v>
          </cell>
          <cell r="M102">
            <v>1.115062956</v>
          </cell>
          <cell r="P102">
            <v>35521</v>
          </cell>
          <cell r="Q102">
            <v>4.2000000000000037E-2</v>
          </cell>
        </row>
        <row r="103">
          <cell r="A103">
            <v>35551</v>
          </cell>
          <cell r="B103">
            <v>1.038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1.038</v>
          </cell>
          <cell r="L103">
            <v>1.0826339999999999</v>
          </cell>
          <cell r="M103">
            <v>1.1107824839999998</v>
          </cell>
          <cell r="P103">
            <v>35551</v>
          </cell>
          <cell r="Q103">
            <v>3.8000000000000034E-2</v>
          </cell>
        </row>
        <row r="104">
          <cell r="A104">
            <v>35582</v>
          </cell>
          <cell r="B104">
            <v>1.036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1.036</v>
          </cell>
          <cell r="L104">
            <v>1.0805480000000001</v>
          </cell>
          <cell r="M104">
            <v>1.108642248</v>
          </cell>
          <cell r="P104">
            <v>35582</v>
          </cell>
          <cell r="Q104">
            <v>3.6000000000000032E-2</v>
          </cell>
        </row>
        <row r="105">
          <cell r="A105">
            <v>35612</v>
          </cell>
          <cell r="B105">
            <v>1.0329999999999999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1.0329999999999999</v>
          </cell>
          <cell r="L105">
            <v>1.0774189999999999</v>
          </cell>
          <cell r="M105">
            <v>1.1054318939999999</v>
          </cell>
          <cell r="P105">
            <v>35612</v>
          </cell>
          <cell r="Q105">
            <v>3.2999999999999918E-2</v>
          </cell>
        </row>
        <row r="106">
          <cell r="A106">
            <v>35643</v>
          </cell>
          <cell r="B106">
            <v>1.0269999999999999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1.0269999999999999</v>
          </cell>
          <cell r="L106">
            <v>1.0711609999999998</v>
          </cell>
          <cell r="M106">
            <v>1.0990111859999998</v>
          </cell>
          <cell r="P106">
            <v>35643</v>
          </cell>
          <cell r="Q106">
            <v>2.6999999999999913E-2</v>
          </cell>
        </row>
        <row r="107">
          <cell r="A107">
            <v>35674</v>
          </cell>
          <cell r="B107">
            <v>1.0229999999999999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1.0229999999999999</v>
          </cell>
          <cell r="L107">
            <v>1.0669889999999997</v>
          </cell>
          <cell r="M107">
            <v>1.0947307139999998</v>
          </cell>
          <cell r="P107">
            <v>35674</v>
          </cell>
          <cell r="Q107">
            <v>2.2999999999999909E-2</v>
          </cell>
        </row>
        <row r="108">
          <cell r="A108">
            <v>35704</v>
          </cell>
          <cell r="B108">
            <v>1.014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1.014</v>
          </cell>
          <cell r="L108">
            <v>1.0576019999999999</v>
          </cell>
          <cell r="M108">
            <v>1.085099652</v>
          </cell>
          <cell r="P108">
            <v>35704</v>
          </cell>
          <cell r="Q108">
            <v>1.4000000000000012E-2</v>
          </cell>
        </row>
        <row r="109">
          <cell r="A109">
            <v>35735</v>
          </cell>
          <cell r="B109">
            <v>1.0009999999999999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1.0009999999999999</v>
          </cell>
          <cell r="L109">
            <v>1.0440429999999998</v>
          </cell>
          <cell r="M109">
            <v>1.0711881179999998</v>
          </cell>
          <cell r="P109">
            <v>35735</v>
          </cell>
          <cell r="Q109">
            <v>9.9999999999988987E-4</v>
          </cell>
        </row>
        <row r="110">
          <cell r="A110">
            <v>35765</v>
          </cell>
          <cell r="B110">
            <v>1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1</v>
          </cell>
          <cell r="L110">
            <v>1.0429999999999999</v>
          </cell>
          <cell r="M110">
            <v>1.0701179999999999</v>
          </cell>
          <cell r="P110">
            <v>35765</v>
          </cell>
          <cell r="Q110">
            <v>0</v>
          </cell>
        </row>
        <row r="111">
          <cell r="A111">
            <v>35796</v>
          </cell>
          <cell r="B111">
            <v>1.0409999999999999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1.0409999999999999</v>
          </cell>
          <cell r="M111">
            <v>1.068066</v>
          </cell>
          <cell r="P111">
            <v>35796</v>
          </cell>
          <cell r="Q111">
            <v>4.0999999999999925E-2</v>
          </cell>
        </row>
        <row r="112">
          <cell r="A112">
            <v>35827</v>
          </cell>
          <cell r="B112">
            <v>1.034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1.034</v>
          </cell>
          <cell r="M112">
            <v>1.0608840000000002</v>
          </cell>
          <cell r="P112">
            <v>35827</v>
          </cell>
          <cell r="Q112">
            <v>3.400000000000003E-2</v>
          </cell>
        </row>
        <row r="113">
          <cell r="A113">
            <v>35855</v>
          </cell>
          <cell r="B113">
            <v>1.0349999999999999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1.0349999999999999</v>
          </cell>
          <cell r="M113">
            <v>1.0619099999999999</v>
          </cell>
          <cell r="P113">
            <v>35855</v>
          </cell>
          <cell r="Q113">
            <v>3.499999999999992E-2</v>
          </cell>
        </row>
        <row r="114">
          <cell r="A114">
            <v>35886</v>
          </cell>
          <cell r="B114">
            <v>1.0309999999999999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1.0309999999999999</v>
          </cell>
          <cell r="M114">
            <v>1.057806</v>
          </cell>
          <cell r="P114">
            <v>35886</v>
          </cell>
          <cell r="Q114">
            <v>3.0999999999999917E-2</v>
          </cell>
        </row>
        <row r="115">
          <cell r="A115">
            <v>35916</v>
          </cell>
          <cell r="B115">
            <v>1.0269999999999999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1.0269999999999999</v>
          </cell>
          <cell r="M115">
            <v>1.0537019999999999</v>
          </cell>
          <cell r="P115">
            <v>35916</v>
          </cell>
          <cell r="Q115">
            <v>2.6999999999999913E-2</v>
          </cell>
        </row>
        <row r="116">
          <cell r="A116">
            <v>35947</v>
          </cell>
          <cell r="B116">
            <v>1.0249999999999999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1.0249999999999999</v>
          </cell>
          <cell r="M116">
            <v>1.05165</v>
          </cell>
          <cell r="P116">
            <v>35947</v>
          </cell>
          <cell r="Q116">
            <v>2.4999999999999911E-2</v>
          </cell>
        </row>
        <row r="117">
          <cell r="A117">
            <v>35977</v>
          </cell>
          <cell r="B117">
            <v>1.022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1.022</v>
          </cell>
          <cell r="M117">
            <v>1.0485720000000001</v>
          </cell>
          <cell r="P117">
            <v>35977</v>
          </cell>
          <cell r="Q117">
            <v>2.200000000000002E-2</v>
          </cell>
        </row>
        <row r="118">
          <cell r="A118">
            <v>36008</v>
          </cell>
          <cell r="B118">
            <v>1.018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1.018</v>
          </cell>
          <cell r="M118">
            <v>1.044468</v>
          </cell>
          <cell r="P118">
            <v>36008</v>
          </cell>
          <cell r="Q118">
            <v>1.8000000000000016E-2</v>
          </cell>
        </row>
        <row r="119">
          <cell r="A119">
            <v>36039</v>
          </cell>
          <cell r="B119">
            <v>1.014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1.014</v>
          </cell>
          <cell r="M119">
            <v>1.0403640000000001</v>
          </cell>
          <cell r="P119">
            <v>36039</v>
          </cell>
          <cell r="Q119">
            <v>1.4000000000000012E-2</v>
          </cell>
        </row>
        <row r="120">
          <cell r="A120">
            <v>36069</v>
          </cell>
          <cell r="B120">
            <v>1.0089999999999999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1.0089999999999999</v>
          </cell>
          <cell r="M120">
            <v>1.035234</v>
          </cell>
          <cell r="P120">
            <v>36069</v>
          </cell>
          <cell r="Q120">
            <v>8.999999999999897E-3</v>
          </cell>
        </row>
        <row r="121">
          <cell r="A121">
            <v>36100</v>
          </cell>
          <cell r="B121">
            <v>1.0009999999999999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1.0009999999999999</v>
          </cell>
          <cell r="M121">
            <v>1.027026</v>
          </cell>
          <cell r="P121">
            <v>36100</v>
          </cell>
          <cell r="Q121">
            <v>9.9999999999988987E-4</v>
          </cell>
        </row>
        <row r="122">
          <cell r="A122">
            <v>36130</v>
          </cell>
          <cell r="B122">
            <v>1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1</v>
          </cell>
          <cell r="M122">
            <v>1.026</v>
          </cell>
          <cell r="P122">
            <v>36130</v>
          </cell>
          <cell r="Q122">
            <v>0</v>
          </cell>
        </row>
        <row r="123">
          <cell r="A123">
            <v>36161</v>
          </cell>
          <cell r="B123">
            <v>1.02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1.02</v>
          </cell>
          <cell r="P123">
            <v>36161</v>
          </cell>
          <cell r="Q123">
            <v>0.02</v>
          </cell>
        </row>
        <row r="124">
          <cell r="A124">
            <v>36192</v>
          </cell>
          <cell r="B124">
            <v>1.024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1.024</v>
          </cell>
          <cell r="P124">
            <v>36192</v>
          </cell>
          <cell r="Q124">
            <v>2.4000000000000021E-2</v>
          </cell>
        </row>
        <row r="125">
          <cell r="A125">
            <v>36220</v>
          </cell>
          <cell r="B125">
            <v>1.0229999999999999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1.0229999999999999</v>
          </cell>
          <cell r="P125">
            <v>36220</v>
          </cell>
          <cell r="Q125">
            <v>2.2999999999999909E-2</v>
          </cell>
        </row>
        <row r="126">
          <cell r="A126">
            <v>36251</v>
          </cell>
          <cell r="B126">
            <v>1.0169999999999999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1.0169999999999999</v>
          </cell>
          <cell r="P126">
            <v>36251</v>
          </cell>
          <cell r="Q126">
            <v>1.6999999999999904E-2</v>
          </cell>
        </row>
        <row r="127">
          <cell r="A127">
            <v>36281</v>
          </cell>
          <cell r="B127">
            <v>1.0129999999999999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1.0129999999999999</v>
          </cell>
          <cell r="P127">
            <v>36281</v>
          </cell>
          <cell r="Q127">
            <v>1.2999999999999901E-2</v>
          </cell>
        </row>
        <row r="128">
          <cell r="A128">
            <v>36312</v>
          </cell>
          <cell r="B128">
            <v>1.012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1.012</v>
          </cell>
          <cell r="P128">
            <v>36312</v>
          </cell>
          <cell r="Q128">
            <v>1.2000000000000011E-2</v>
          </cell>
        </row>
        <row r="129">
          <cell r="A129">
            <v>36342</v>
          </cell>
          <cell r="B129">
            <v>1.01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1.01</v>
          </cell>
          <cell r="P129">
            <v>36342</v>
          </cell>
          <cell r="Q129">
            <v>0.01</v>
          </cell>
        </row>
        <row r="130">
          <cell r="A130">
            <v>36373</v>
          </cell>
          <cell r="B130">
            <v>1.0089999999999999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1.0089999999999999</v>
          </cell>
          <cell r="P130">
            <v>36373</v>
          </cell>
          <cell r="Q130">
            <v>8.999999999999897E-3</v>
          </cell>
        </row>
        <row r="131">
          <cell r="A131">
            <v>36404</v>
          </cell>
          <cell r="B131">
            <v>1.008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1.008</v>
          </cell>
          <cell r="P131">
            <v>36404</v>
          </cell>
          <cell r="Q131">
            <v>8.0000000000000071E-3</v>
          </cell>
        </row>
        <row r="132">
          <cell r="A132">
            <v>36434</v>
          </cell>
          <cell r="B132">
            <v>1.0049999999999999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1.0049999999999999</v>
          </cell>
          <cell r="P132">
            <v>36434</v>
          </cell>
          <cell r="Q132">
            <v>4.9999999999998934E-3</v>
          </cell>
        </row>
        <row r="133">
          <cell r="A133">
            <v>36465</v>
          </cell>
          <cell r="B133">
            <v>1.002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1.002</v>
          </cell>
          <cell r="P133">
            <v>36465</v>
          </cell>
          <cell r="Q133">
            <v>2.0000000000000018E-3</v>
          </cell>
        </row>
        <row r="134">
          <cell r="A134">
            <v>36495</v>
          </cell>
          <cell r="B134">
            <v>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1</v>
          </cell>
          <cell r="P134">
            <v>36495</v>
          </cell>
          <cell r="Q134">
            <v>0</v>
          </cell>
        </row>
        <row r="135">
          <cell r="P135">
            <v>36526</v>
          </cell>
          <cell r="Q135">
            <v>4.3999999999999997E-2</v>
          </cell>
        </row>
        <row r="136">
          <cell r="P136">
            <v>36557</v>
          </cell>
          <cell r="Q136">
            <v>4.2000000000000003E-2</v>
          </cell>
        </row>
        <row r="137">
          <cell r="P137">
            <v>36586</v>
          </cell>
          <cell r="Q137">
            <v>3.5999999999999997E-2</v>
          </cell>
        </row>
        <row r="138">
          <cell r="P138">
            <v>36617</v>
          </cell>
          <cell r="Q138">
            <v>2.9000000000000001E-2</v>
          </cell>
        </row>
        <row r="139">
          <cell r="P139">
            <v>36647</v>
          </cell>
          <cell r="Q139">
            <v>2.4E-2</v>
          </cell>
        </row>
        <row r="140">
          <cell r="P140">
            <v>36678</v>
          </cell>
          <cell r="Q140">
            <v>2.1999999999999999E-2</v>
          </cell>
        </row>
        <row r="141">
          <cell r="P141">
            <v>36708</v>
          </cell>
          <cell r="Q141">
            <v>0.02</v>
          </cell>
        </row>
        <row r="142">
          <cell r="P142">
            <v>36739</v>
          </cell>
          <cell r="Q142">
            <v>1.7999999999999999E-2</v>
          </cell>
        </row>
        <row r="143">
          <cell r="P143">
            <v>36770</v>
          </cell>
          <cell r="Q143">
            <v>1.6E-2</v>
          </cell>
        </row>
        <row r="144">
          <cell r="P144">
            <v>36800</v>
          </cell>
          <cell r="Q144">
            <v>8.9999999999999993E-3</v>
          </cell>
        </row>
        <row r="145">
          <cell r="P145">
            <v>36831</v>
          </cell>
          <cell r="Q145">
            <v>3.0000000000000001E-3</v>
          </cell>
        </row>
        <row r="146">
          <cell r="P146">
            <v>36861</v>
          </cell>
          <cell r="Q146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 Boletas"/>
      <sheetName val="BD Facturas"/>
      <sheetName val="BD Compras"/>
    </sheetNames>
    <sheetDataSet>
      <sheetData sheetId="0" refreshError="1"/>
      <sheetData sheetId="1" refreshError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>
            <v>0</v>
          </cell>
        </row>
        <row r="3">
          <cell r="A3">
            <v>2</v>
          </cell>
          <cell r="B3">
            <v>0</v>
          </cell>
        </row>
        <row r="4">
          <cell r="A4">
            <v>5</v>
          </cell>
          <cell r="B4">
            <v>0</v>
          </cell>
        </row>
        <row r="5">
          <cell r="A5">
            <v>6</v>
          </cell>
          <cell r="B5">
            <v>0</v>
          </cell>
        </row>
        <row r="6">
          <cell r="A6">
            <v>9</v>
          </cell>
          <cell r="B6">
            <v>0</v>
          </cell>
        </row>
        <row r="7">
          <cell r="A7">
            <v>8</v>
          </cell>
          <cell r="B7">
            <v>0</v>
          </cell>
        </row>
        <row r="8">
          <cell r="A8">
            <v>7</v>
          </cell>
          <cell r="B8">
            <v>0</v>
          </cell>
        </row>
        <row r="9">
          <cell r="A9">
            <v>3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9"/>
  <sheetViews>
    <sheetView topLeftCell="A10" zoomScale="106" zoomScaleNormal="106" workbookViewId="0">
      <selection activeCell="K95" sqref="K95"/>
    </sheetView>
  </sheetViews>
  <sheetFormatPr baseColWidth="10" defaultRowHeight="15.75"/>
  <cols>
    <col min="3" max="4" width="11.42578125" customWidth="1"/>
    <col min="5" max="5" width="37.5703125" customWidth="1"/>
    <col min="6" max="6" width="13.7109375" customWidth="1"/>
    <col min="7" max="9" width="11.85546875" customWidth="1"/>
    <col min="10" max="10" width="11.85546875" style="527" bestFit="1" customWidth="1"/>
    <col min="11" max="11" width="11.85546875" style="527" customWidth="1"/>
    <col min="12" max="12" width="13.28515625" customWidth="1"/>
    <col min="13" max="13" width="11.85546875" bestFit="1" customWidth="1"/>
    <col min="14" max="14" width="11.42578125" style="528"/>
    <col min="15" max="15" width="17" style="529" bestFit="1" customWidth="1"/>
    <col min="271" max="271" width="17" bestFit="1" customWidth="1"/>
    <col min="527" max="527" width="17" bestFit="1" customWidth="1"/>
    <col min="783" max="783" width="17" bestFit="1" customWidth="1"/>
    <col min="1039" max="1039" width="17" bestFit="1" customWidth="1"/>
    <col min="1295" max="1295" width="17" bestFit="1" customWidth="1"/>
    <col min="1551" max="1551" width="17" bestFit="1" customWidth="1"/>
    <col min="1807" max="1807" width="17" bestFit="1" customWidth="1"/>
    <col min="2063" max="2063" width="17" bestFit="1" customWidth="1"/>
    <col min="2319" max="2319" width="17" bestFit="1" customWidth="1"/>
    <col min="2575" max="2575" width="17" bestFit="1" customWidth="1"/>
    <col min="2831" max="2831" width="17" bestFit="1" customWidth="1"/>
    <col min="3087" max="3087" width="17" bestFit="1" customWidth="1"/>
    <col min="3343" max="3343" width="17" bestFit="1" customWidth="1"/>
    <col min="3599" max="3599" width="17" bestFit="1" customWidth="1"/>
    <col min="3855" max="3855" width="17" bestFit="1" customWidth="1"/>
    <col min="4111" max="4111" width="17" bestFit="1" customWidth="1"/>
    <col min="4367" max="4367" width="17" bestFit="1" customWidth="1"/>
    <col min="4623" max="4623" width="17" bestFit="1" customWidth="1"/>
    <col min="4879" max="4879" width="17" bestFit="1" customWidth="1"/>
    <col min="5135" max="5135" width="17" bestFit="1" customWidth="1"/>
    <col min="5391" max="5391" width="17" bestFit="1" customWidth="1"/>
    <col min="5647" max="5647" width="17" bestFit="1" customWidth="1"/>
    <col min="5903" max="5903" width="17" bestFit="1" customWidth="1"/>
    <col min="6159" max="6159" width="17" bestFit="1" customWidth="1"/>
    <col min="6415" max="6415" width="17" bestFit="1" customWidth="1"/>
    <col min="6671" max="6671" width="17" bestFit="1" customWidth="1"/>
    <col min="6927" max="6927" width="17" bestFit="1" customWidth="1"/>
    <col min="7183" max="7183" width="17" bestFit="1" customWidth="1"/>
    <col min="7439" max="7439" width="17" bestFit="1" customWidth="1"/>
    <col min="7695" max="7695" width="17" bestFit="1" customWidth="1"/>
    <col min="7951" max="7951" width="17" bestFit="1" customWidth="1"/>
    <col min="8207" max="8207" width="17" bestFit="1" customWidth="1"/>
    <col min="8463" max="8463" width="17" bestFit="1" customWidth="1"/>
    <col min="8719" max="8719" width="17" bestFit="1" customWidth="1"/>
    <col min="8975" max="8975" width="17" bestFit="1" customWidth="1"/>
    <col min="9231" max="9231" width="17" bestFit="1" customWidth="1"/>
    <col min="9487" max="9487" width="17" bestFit="1" customWidth="1"/>
    <col min="9743" max="9743" width="17" bestFit="1" customWidth="1"/>
    <col min="9999" max="9999" width="17" bestFit="1" customWidth="1"/>
    <col min="10255" max="10255" width="17" bestFit="1" customWidth="1"/>
    <col min="10511" max="10511" width="17" bestFit="1" customWidth="1"/>
    <col min="10767" max="10767" width="17" bestFit="1" customWidth="1"/>
    <col min="11023" max="11023" width="17" bestFit="1" customWidth="1"/>
    <col min="11279" max="11279" width="17" bestFit="1" customWidth="1"/>
    <col min="11535" max="11535" width="17" bestFit="1" customWidth="1"/>
    <col min="11791" max="11791" width="17" bestFit="1" customWidth="1"/>
    <col min="12047" max="12047" width="17" bestFit="1" customWidth="1"/>
    <col min="12303" max="12303" width="17" bestFit="1" customWidth="1"/>
    <col min="12559" max="12559" width="17" bestFit="1" customWidth="1"/>
    <col min="12815" max="12815" width="17" bestFit="1" customWidth="1"/>
    <col min="13071" max="13071" width="17" bestFit="1" customWidth="1"/>
    <col min="13327" max="13327" width="17" bestFit="1" customWidth="1"/>
    <col min="13583" max="13583" width="17" bestFit="1" customWidth="1"/>
    <col min="13839" max="13839" width="17" bestFit="1" customWidth="1"/>
    <col min="14095" max="14095" width="17" bestFit="1" customWidth="1"/>
    <col min="14351" max="14351" width="17" bestFit="1" customWidth="1"/>
    <col min="14607" max="14607" width="17" bestFit="1" customWidth="1"/>
    <col min="14863" max="14863" width="17" bestFit="1" customWidth="1"/>
    <col min="15119" max="15119" width="17" bestFit="1" customWidth="1"/>
    <col min="15375" max="15375" width="17" bestFit="1" customWidth="1"/>
    <col min="15631" max="15631" width="17" bestFit="1" customWidth="1"/>
    <col min="15887" max="15887" width="17" bestFit="1" customWidth="1"/>
    <col min="16143" max="16143" width="17" bestFit="1" customWidth="1"/>
  </cols>
  <sheetData>
    <row r="1" spans="1:16">
      <c r="A1" s="421"/>
      <c r="B1" s="421"/>
      <c r="C1" s="421"/>
      <c r="D1" s="421"/>
      <c r="E1" s="421"/>
      <c r="F1" s="421"/>
      <c r="G1" s="421"/>
      <c r="H1" s="421"/>
      <c r="I1" s="421"/>
      <c r="J1" s="422"/>
      <c r="K1" s="422"/>
      <c r="L1" s="421"/>
      <c r="M1" s="421"/>
      <c r="N1" s="423"/>
      <c r="O1" s="424"/>
      <c r="P1" s="421"/>
    </row>
    <row r="2" spans="1:16">
      <c r="A2" s="421"/>
      <c r="B2" s="421"/>
      <c r="C2" s="421"/>
      <c r="D2" s="421"/>
      <c r="E2" s="421"/>
      <c r="F2" s="421"/>
      <c r="G2" s="421"/>
      <c r="H2" s="421"/>
      <c r="I2" s="421"/>
      <c r="J2" s="422"/>
      <c r="K2" s="422"/>
      <c r="L2" s="421"/>
      <c r="M2" s="421"/>
      <c r="N2" s="423"/>
      <c r="O2" s="424"/>
      <c r="P2" s="421"/>
    </row>
    <row r="3" spans="1:16">
      <c r="A3" s="421"/>
      <c r="B3" s="421"/>
      <c r="C3" s="421"/>
      <c r="D3" s="421"/>
      <c r="E3" s="421"/>
      <c r="F3" s="421"/>
      <c r="G3" s="421"/>
      <c r="H3" s="421"/>
      <c r="I3" s="421"/>
      <c r="J3" s="422"/>
      <c r="K3" s="422"/>
      <c r="L3" s="421"/>
      <c r="M3" s="421"/>
      <c r="N3" s="423"/>
      <c r="O3" s="424"/>
      <c r="P3" s="421"/>
    </row>
    <row r="4" spans="1:16">
      <c r="A4" s="421"/>
      <c r="B4" s="421"/>
      <c r="C4" s="421"/>
      <c r="D4" s="421"/>
      <c r="E4" s="421"/>
      <c r="F4" s="421"/>
      <c r="G4" s="421"/>
      <c r="H4" s="421"/>
      <c r="I4" s="421"/>
      <c r="J4" s="425"/>
      <c r="K4" s="425"/>
      <c r="L4" s="421"/>
      <c r="M4" s="421"/>
      <c r="N4" s="423"/>
      <c r="O4" s="424"/>
      <c r="P4" s="421"/>
    </row>
    <row r="5" spans="1:16">
      <c r="A5" s="421"/>
      <c r="B5" s="426"/>
      <c r="C5" s="421"/>
      <c r="D5" s="421"/>
      <c r="E5" s="421"/>
      <c r="F5" s="421"/>
      <c r="G5" s="421"/>
      <c r="H5" s="421"/>
      <c r="I5" s="421"/>
      <c r="J5" s="425"/>
      <c r="K5" s="425"/>
      <c r="L5" s="421"/>
      <c r="M5" s="421"/>
      <c r="N5" s="423"/>
      <c r="O5" s="424"/>
      <c r="P5" s="421"/>
    </row>
    <row r="6" spans="1:16">
      <c r="A6" s="421"/>
      <c r="B6" s="427" t="s">
        <v>473</v>
      </c>
      <c r="C6" s="428"/>
      <c r="D6" s="429"/>
      <c r="E6" s="428"/>
      <c r="F6" s="428"/>
      <c r="G6" s="428"/>
      <c r="H6" s="428"/>
      <c r="I6" s="425"/>
      <c r="J6" s="425"/>
      <c r="K6" s="425"/>
      <c r="L6" s="421"/>
      <c r="M6" s="421"/>
      <c r="N6" s="423"/>
      <c r="O6" s="424"/>
      <c r="P6" s="421"/>
    </row>
    <row r="7" spans="1:16">
      <c r="A7" s="421"/>
      <c r="B7" s="427"/>
      <c r="C7" s="428"/>
      <c r="D7" s="429"/>
      <c r="E7" s="428"/>
      <c r="F7" s="428"/>
      <c r="G7" s="428"/>
      <c r="H7" s="428"/>
      <c r="I7" s="425"/>
      <c r="J7" s="425"/>
      <c r="K7" s="425"/>
      <c r="L7" s="421"/>
      <c r="M7" s="421"/>
      <c r="N7" s="423"/>
      <c r="O7" s="424"/>
      <c r="P7" s="421"/>
    </row>
    <row r="8" spans="1:16">
      <c r="A8" s="421"/>
      <c r="B8" s="430" t="s">
        <v>474</v>
      </c>
      <c r="C8" s="431"/>
      <c r="D8" s="431"/>
      <c r="E8" s="431" t="s">
        <v>475</v>
      </c>
      <c r="F8" s="431"/>
      <c r="G8" s="431"/>
      <c r="H8" s="431"/>
      <c r="I8" s="432"/>
      <c r="J8" s="433"/>
      <c r="K8" s="433"/>
      <c r="L8" s="434"/>
      <c r="M8" s="435"/>
      <c r="N8" s="436"/>
      <c r="O8" s="424"/>
      <c r="P8" s="421"/>
    </row>
    <row r="9" spans="1:16">
      <c r="A9" s="421"/>
      <c r="B9" s="437"/>
      <c r="C9" s="437"/>
      <c r="D9" s="438"/>
      <c r="E9" s="439" t="s">
        <v>476</v>
      </c>
      <c r="F9" s="439"/>
      <c r="G9" s="439"/>
      <c r="H9" s="439"/>
      <c r="I9" s="440"/>
      <c r="J9" s="433"/>
      <c r="K9" s="433"/>
      <c r="L9" s="434"/>
      <c r="M9" s="435"/>
      <c r="N9" s="436"/>
      <c r="O9" s="424"/>
      <c r="P9" s="421"/>
    </row>
    <row r="10" spans="1:16">
      <c r="A10" s="421"/>
      <c r="B10" s="437" t="s">
        <v>477</v>
      </c>
      <c r="C10" s="437"/>
      <c r="D10" s="437"/>
      <c r="E10" s="437"/>
      <c r="F10" s="437"/>
      <c r="G10" s="438"/>
      <c r="H10" s="440" t="s">
        <v>478</v>
      </c>
      <c r="I10" s="438"/>
      <c r="J10" s="425"/>
      <c r="K10" s="425"/>
      <c r="L10" s="421"/>
      <c r="M10" s="441"/>
      <c r="N10" s="436"/>
      <c r="O10" s="424"/>
      <c r="P10" s="421"/>
    </row>
    <row r="11" spans="1:16">
      <c r="A11" s="421"/>
      <c r="B11" s="438"/>
      <c r="C11" s="439"/>
      <c r="D11" s="439"/>
      <c r="E11" s="439"/>
      <c r="F11" s="440"/>
      <c r="G11" s="442"/>
      <c r="H11" s="440"/>
      <c r="I11" s="438"/>
      <c r="J11" s="425"/>
      <c r="K11" s="425"/>
      <c r="L11" s="421"/>
      <c r="M11" s="421"/>
      <c r="N11" s="423"/>
      <c r="O11" s="424"/>
      <c r="P11" s="421"/>
    </row>
    <row r="12" spans="1:16">
      <c r="A12" s="421"/>
      <c r="B12" s="437" t="s">
        <v>479</v>
      </c>
      <c r="C12" s="437"/>
      <c r="D12" s="437"/>
      <c r="E12" s="437"/>
      <c r="F12" s="437"/>
      <c r="G12" s="438"/>
      <c r="H12" s="443" t="s">
        <v>480</v>
      </c>
      <c r="I12" s="444" t="s">
        <v>481</v>
      </c>
      <c r="J12" s="445"/>
      <c r="K12" s="446"/>
      <c r="L12" s="447"/>
      <c r="M12" s="421"/>
      <c r="N12" s="423"/>
      <c r="O12" s="424"/>
      <c r="P12" s="421"/>
    </row>
    <row r="13" spans="1:16">
      <c r="A13" s="421"/>
      <c r="B13" s="448"/>
      <c r="C13" s="449"/>
      <c r="D13" s="449"/>
      <c r="E13" s="449"/>
      <c r="F13" s="450"/>
      <c r="G13" s="451"/>
      <c r="H13" s="444"/>
      <c r="I13" s="452"/>
      <c r="J13" s="445"/>
      <c r="K13" s="446"/>
      <c r="L13" s="447"/>
      <c r="M13" s="421"/>
      <c r="N13" s="423"/>
      <c r="O13" s="424"/>
      <c r="P13" s="421"/>
    </row>
    <row r="14" spans="1:16">
      <c r="A14" s="421"/>
      <c r="B14" s="428"/>
      <c r="C14" s="428"/>
      <c r="D14" s="428"/>
      <c r="E14" s="428"/>
      <c r="F14" s="428"/>
      <c r="G14" s="453"/>
      <c r="H14" s="425"/>
      <c r="I14" s="425"/>
      <c r="J14" s="425"/>
      <c r="K14" s="425"/>
      <c r="L14" s="421"/>
      <c r="M14" s="421"/>
      <c r="N14" s="423"/>
      <c r="O14" s="424"/>
      <c r="P14" s="421"/>
    </row>
    <row r="15" spans="1:16">
      <c r="A15" s="421"/>
      <c r="B15" s="427" t="s">
        <v>482</v>
      </c>
      <c r="C15" s="428"/>
      <c r="D15" s="429"/>
      <c r="E15" s="428"/>
      <c r="F15" s="428"/>
      <c r="G15" s="428"/>
      <c r="H15" s="428"/>
      <c r="I15" s="425"/>
      <c r="J15" s="425"/>
      <c r="K15" s="425"/>
      <c r="L15" s="421"/>
      <c r="M15" s="421"/>
      <c r="N15" s="423"/>
      <c r="O15" s="424"/>
      <c r="P15" s="421"/>
    </row>
    <row r="16" spans="1:16" ht="16.5" thickBot="1">
      <c r="A16" s="421"/>
      <c r="B16" s="428"/>
      <c r="C16" s="428"/>
      <c r="D16" s="429"/>
      <c r="E16" s="428"/>
      <c r="F16" s="428"/>
      <c r="G16" s="428"/>
      <c r="H16" s="428"/>
      <c r="I16" s="425"/>
      <c r="J16" s="425"/>
      <c r="K16" s="425"/>
      <c r="L16" s="421"/>
      <c r="M16" s="421"/>
      <c r="N16" s="423"/>
      <c r="O16" s="424"/>
      <c r="P16" s="421"/>
    </row>
    <row r="17" spans="1:16">
      <c r="A17" s="421"/>
      <c r="B17" s="454" t="s">
        <v>483</v>
      </c>
      <c r="C17" s="455"/>
      <c r="D17" s="455"/>
      <c r="E17" s="455" t="s">
        <v>484</v>
      </c>
      <c r="F17" s="455"/>
      <c r="G17" s="455" t="s">
        <v>485</v>
      </c>
      <c r="H17" s="455"/>
      <c r="I17" s="456" t="s">
        <v>486</v>
      </c>
      <c r="J17" s="457"/>
      <c r="K17" s="425"/>
      <c r="L17" s="421"/>
      <c r="M17" s="421"/>
      <c r="N17" s="423"/>
      <c r="O17" s="424"/>
      <c r="P17" s="421"/>
    </row>
    <row r="18" spans="1:16">
      <c r="A18" s="421"/>
      <c r="B18" s="458"/>
      <c r="C18" s="459"/>
      <c r="D18" s="459"/>
      <c r="E18" s="459"/>
      <c r="F18" s="459"/>
      <c r="G18" s="459"/>
      <c r="H18" s="459"/>
      <c r="I18" s="443" t="s">
        <v>487</v>
      </c>
      <c r="J18" s="460" t="s">
        <v>488</v>
      </c>
      <c r="K18" s="425"/>
      <c r="L18" s="421"/>
      <c r="M18" s="421"/>
      <c r="N18" s="423"/>
      <c r="O18" s="424"/>
      <c r="P18" s="421"/>
    </row>
    <row r="19" spans="1:16" ht="16.5" thickBot="1">
      <c r="A19" s="421"/>
      <c r="B19" s="461"/>
      <c r="C19" s="462"/>
      <c r="D19" s="462"/>
      <c r="E19" s="462"/>
      <c r="F19" s="462"/>
      <c r="G19" s="462"/>
      <c r="H19" s="462"/>
      <c r="I19" s="463"/>
      <c r="J19" s="464"/>
      <c r="K19" s="425"/>
      <c r="L19" s="421"/>
      <c r="M19" s="421"/>
      <c r="N19" s="423"/>
      <c r="O19" s="424"/>
      <c r="P19" s="421"/>
    </row>
    <row r="20" spans="1:16">
      <c r="A20" s="421"/>
      <c r="B20" s="428"/>
      <c r="C20" s="428"/>
      <c r="D20" s="429"/>
      <c r="E20" s="428"/>
      <c r="F20" s="428"/>
      <c r="G20" s="428"/>
      <c r="H20" s="428"/>
      <c r="I20" s="425"/>
      <c r="J20" s="425"/>
      <c r="K20" s="425"/>
      <c r="L20" s="421"/>
      <c r="M20" s="421"/>
      <c r="N20" s="423"/>
      <c r="O20" s="424"/>
      <c r="P20" s="421"/>
    </row>
    <row r="21" spans="1:16">
      <c r="A21" s="421"/>
      <c r="B21" s="453"/>
      <c r="C21" s="453"/>
      <c r="D21" s="453"/>
      <c r="E21" s="453"/>
      <c r="F21" s="453"/>
      <c r="G21" s="453"/>
      <c r="H21" s="425"/>
      <c r="I21" s="425"/>
      <c r="J21" s="425"/>
      <c r="K21" s="425"/>
      <c r="L21" s="421"/>
      <c r="M21" s="421"/>
      <c r="N21" s="423"/>
      <c r="O21" s="424"/>
      <c r="P21" s="421"/>
    </row>
    <row r="22" spans="1:16">
      <c r="A22" s="421"/>
      <c r="B22" s="425" t="s">
        <v>489</v>
      </c>
      <c r="C22" s="425"/>
      <c r="D22" s="425"/>
      <c r="E22" s="425"/>
      <c r="F22" s="425"/>
      <c r="G22" s="425"/>
      <c r="H22" s="425"/>
      <c r="I22" s="425"/>
      <c r="J22" s="425"/>
      <c r="K22" s="425"/>
      <c r="L22" s="421"/>
      <c r="M22" s="421"/>
      <c r="N22" s="423"/>
      <c r="O22" s="424"/>
      <c r="P22" s="421"/>
    </row>
    <row r="23" spans="1:16" ht="16.5" thickBot="1">
      <c r="A23" s="421"/>
      <c r="B23" s="465"/>
      <c r="C23" s="425"/>
      <c r="D23" s="425"/>
      <c r="E23" s="425"/>
      <c r="F23" s="425"/>
      <c r="G23" s="425"/>
      <c r="H23" s="425"/>
      <c r="I23" s="425"/>
      <c r="J23" s="425"/>
      <c r="K23" s="425"/>
      <c r="L23" s="421"/>
      <c r="M23" s="421"/>
      <c r="N23" s="423"/>
      <c r="O23" s="424"/>
      <c r="P23" s="421"/>
    </row>
    <row r="24" spans="1:16" ht="15">
      <c r="A24" s="421"/>
      <c r="B24" s="466" t="s">
        <v>490</v>
      </c>
      <c r="C24" s="466" t="s">
        <v>491</v>
      </c>
      <c r="D24" s="466" t="s">
        <v>492</v>
      </c>
      <c r="E24" s="466" t="s">
        <v>493</v>
      </c>
      <c r="F24" s="466" t="s">
        <v>322</v>
      </c>
      <c r="G24" s="466" t="s">
        <v>494</v>
      </c>
      <c r="H24" s="466" t="s">
        <v>495</v>
      </c>
      <c r="I24" s="466" t="s">
        <v>496</v>
      </c>
      <c r="J24" s="466" t="s">
        <v>9</v>
      </c>
      <c r="K24" s="466" t="s">
        <v>10</v>
      </c>
      <c r="L24" s="467" t="s">
        <v>323</v>
      </c>
      <c r="M24" s="467" t="s">
        <v>324</v>
      </c>
      <c r="N24" s="468" t="s">
        <v>497</v>
      </c>
      <c r="O24" s="469"/>
      <c r="P24" s="421"/>
    </row>
    <row r="25" spans="1:16" ht="24" customHeight="1">
      <c r="A25" s="421"/>
      <c r="B25" s="470"/>
      <c r="C25" s="470"/>
      <c r="D25" s="470"/>
      <c r="E25" s="470"/>
      <c r="F25" s="470"/>
      <c r="G25" s="470"/>
      <c r="H25" s="470"/>
      <c r="I25" s="470"/>
      <c r="J25" s="470"/>
      <c r="K25" s="470"/>
      <c r="L25" s="471"/>
      <c r="M25" s="471"/>
      <c r="N25" s="472"/>
      <c r="O25" s="473"/>
      <c r="P25" s="421"/>
    </row>
    <row r="26" spans="1:16" ht="15">
      <c r="A26" s="421"/>
      <c r="B26" s="474">
        <v>1</v>
      </c>
      <c r="C26" s="60">
        <v>33001</v>
      </c>
      <c r="D26" s="475"/>
      <c r="E26" s="53" t="s">
        <v>72</v>
      </c>
      <c r="F26" s="476"/>
      <c r="G26" s="476">
        <f>+'balance 2022 inicial '!D38</f>
        <v>300000000</v>
      </c>
      <c r="H26" s="476"/>
      <c r="I26" s="476"/>
      <c r="J26" s="476"/>
      <c r="K26" s="476"/>
      <c r="L26" s="477"/>
      <c r="M26" s="478"/>
      <c r="N26" s="479"/>
      <c r="O26" s="480"/>
      <c r="P26" s="421"/>
    </row>
    <row r="27" spans="1:16" thickBot="1">
      <c r="A27" s="421"/>
      <c r="B27" s="474">
        <v>2</v>
      </c>
      <c r="C27" s="60">
        <v>33002</v>
      </c>
      <c r="D27" s="475"/>
      <c r="E27" s="53" t="s">
        <v>73</v>
      </c>
      <c r="F27" s="476">
        <f>+G26</f>
        <v>300000000</v>
      </c>
      <c r="G27" s="476"/>
      <c r="H27" s="476"/>
      <c r="I27" s="476"/>
      <c r="J27" s="476"/>
      <c r="K27" s="476"/>
      <c r="L27" s="477"/>
      <c r="M27" s="478"/>
      <c r="N27" s="479"/>
      <c r="O27" s="480"/>
      <c r="P27" s="421"/>
    </row>
    <row r="28" spans="1:16" hidden="1" thickBot="1">
      <c r="A28" s="421"/>
      <c r="B28" s="481">
        <v>26</v>
      </c>
      <c r="C28" s="482"/>
      <c r="D28" s="482"/>
      <c r="E28" s="483"/>
      <c r="F28" s="484"/>
      <c r="G28" s="484"/>
      <c r="H28" s="484"/>
      <c r="I28" s="484"/>
      <c r="J28" s="485"/>
      <c r="K28" s="485"/>
      <c r="L28" s="485" t="e">
        <f>+#REF!</f>
        <v>#REF!</v>
      </c>
      <c r="M28" s="485"/>
      <c r="N28" s="486"/>
      <c r="O28" s="487"/>
      <c r="P28" s="421"/>
    </row>
    <row r="29" spans="1:16" hidden="1" thickBot="1">
      <c r="A29" s="421"/>
      <c r="B29" s="474">
        <v>27</v>
      </c>
      <c r="C29" s="488"/>
      <c r="D29" s="488"/>
      <c r="E29" s="475"/>
      <c r="F29" s="489"/>
      <c r="G29" s="489"/>
      <c r="H29" s="489"/>
      <c r="I29" s="489"/>
      <c r="J29" s="490"/>
      <c r="K29" s="490"/>
      <c r="L29" s="490">
        <v>413435</v>
      </c>
      <c r="M29" s="490"/>
      <c r="N29" s="486"/>
      <c r="O29" s="487"/>
      <c r="P29" s="421"/>
    </row>
    <row r="30" spans="1:16" hidden="1" thickBot="1">
      <c r="A30" s="421"/>
      <c r="B30" s="474">
        <v>28</v>
      </c>
      <c r="C30" s="488"/>
      <c r="D30" s="488"/>
      <c r="E30" s="491"/>
      <c r="F30" s="489"/>
      <c r="G30" s="489"/>
      <c r="H30" s="489"/>
      <c r="I30" s="489"/>
      <c r="J30" s="489"/>
      <c r="K30" s="489"/>
      <c r="L30" s="489"/>
      <c r="M30" s="489"/>
      <c r="N30" s="486"/>
      <c r="O30" s="487">
        <f>-K30</f>
        <v>0</v>
      </c>
      <c r="P30" s="421"/>
    </row>
    <row r="31" spans="1:16" hidden="1" thickBot="1">
      <c r="A31" s="421"/>
      <c r="B31" s="474">
        <v>29</v>
      </c>
      <c r="C31" s="488"/>
      <c r="D31" s="488"/>
      <c r="E31" s="491"/>
      <c r="F31" s="489"/>
      <c r="G31" s="489"/>
      <c r="H31" s="489"/>
      <c r="I31" s="489"/>
      <c r="J31" s="489"/>
      <c r="K31" s="489"/>
      <c r="L31" s="489"/>
      <c r="M31" s="489"/>
      <c r="N31" s="486"/>
      <c r="O31" s="487">
        <f>-K31</f>
        <v>0</v>
      </c>
      <c r="P31" s="421"/>
    </row>
    <row r="32" spans="1:16" hidden="1" thickBot="1">
      <c r="A32" s="421"/>
      <c r="B32" s="474">
        <v>30</v>
      </c>
      <c r="C32" s="488"/>
      <c r="D32" s="488"/>
      <c r="E32" s="491"/>
      <c r="F32" s="489"/>
      <c r="G32" s="489"/>
      <c r="H32" s="489"/>
      <c r="I32" s="489"/>
      <c r="J32" s="489"/>
      <c r="K32" s="489"/>
      <c r="L32" s="489"/>
      <c r="M32" s="489"/>
      <c r="N32" s="486"/>
      <c r="O32" s="487">
        <f t="shared" ref="O32:O35" si="0">+J32</f>
        <v>0</v>
      </c>
      <c r="P32" s="421"/>
    </row>
    <row r="33" spans="1:16" hidden="1" thickBot="1">
      <c r="A33" s="421"/>
      <c r="B33" s="474">
        <v>31</v>
      </c>
      <c r="C33" s="488"/>
      <c r="D33" s="488"/>
      <c r="E33" s="491"/>
      <c r="F33" s="489"/>
      <c r="G33" s="489"/>
      <c r="H33" s="489"/>
      <c r="I33" s="489"/>
      <c r="J33" s="489"/>
      <c r="K33" s="489"/>
      <c r="L33" s="489"/>
      <c r="M33" s="489"/>
      <c r="N33" s="486"/>
      <c r="O33" s="487">
        <f t="shared" si="0"/>
        <v>0</v>
      </c>
      <c r="P33" s="421"/>
    </row>
    <row r="34" spans="1:16" hidden="1" thickBot="1">
      <c r="A34" s="421"/>
      <c r="B34" s="474">
        <v>32</v>
      </c>
      <c r="C34" s="488"/>
      <c r="D34" s="488"/>
      <c r="E34" s="491"/>
      <c r="F34" s="489"/>
      <c r="G34" s="489"/>
      <c r="H34" s="489"/>
      <c r="I34" s="489"/>
      <c r="J34" s="489"/>
      <c r="K34" s="489"/>
      <c r="L34" s="489"/>
      <c r="M34" s="489"/>
      <c r="N34" s="486"/>
      <c r="O34" s="487">
        <f t="shared" si="0"/>
        <v>0</v>
      </c>
      <c r="P34" s="421"/>
    </row>
    <row r="35" spans="1:16" hidden="1" thickBot="1">
      <c r="A35" s="421"/>
      <c r="B35" s="474">
        <v>33</v>
      </c>
      <c r="C35" s="488"/>
      <c r="D35" s="488"/>
      <c r="E35" s="491"/>
      <c r="F35" s="489"/>
      <c r="G35" s="489"/>
      <c r="H35" s="489"/>
      <c r="I35" s="489"/>
      <c r="J35" s="489"/>
      <c r="K35" s="489"/>
      <c r="L35" s="489"/>
      <c r="M35" s="489"/>
      <c r="N35" s="486"/>
      <c r="O35" s="487">
        <f t="shared" si="0"/>
        <v>0</v>
      </c>
      <c r="P35" s="421"/>
    </row>
    <row r="36" spans="1:16" hidden="1" thickBot="1">
      <c r="A36" s="421"/>
      <c r="B36" s="474">
        <v>34</v>
      </c>
      <c r="C36" s="488"/>
      <c r="D36" s="488"/>
      <c r="E36" s="491"/>
      <c r="F36" s="489"/>
      <c r="G36" s="489"/>
      <c r="H36" s="489"/>
      <c r="I36" s="489"/>
      <c r="J36" s="489"/>
      <c r="K36" s="489"/>
      <c r="L36" s="489"/>
      <c r="M36" s="489"/>
      <c r="N36" s="486" t="e">
        <f>+#REF!</f>
        <v>#REF!</v>
      </c>
      <c r="O36" s="492"/>
      <c r="P36" s="421"/>
    </row>
    <row r="37" spans="1:16" hidden="1" thickBot="1">
      <c r="A37" s="421"/>
      <c r="B37" s="474">
        <v>35</v>
      </c>
      <c r="C37" s="488"/>
      <c r="D37" s="488"/>
      <c r="E37" s="491"/>
      <c r="F37" s="489"/>
      <c r="G37" s="489"/>
      <c r="H37" s="489"/>
      <c r="I37" s="489"/>
      <c r="J37" s="489"/>
      <c r="K37" s="489"/>
      <c r="L37" s="489"/>
      <c r="M37" s="489"/>
      <c r="N37" s="486" t="e">
        <f>+N36</f>
        <v>#REF!</v>
      </c>
      <c r="O37" s="492"/>
      <c r="P37" s="421"/>
    </row>
    <row r="38" spans="1:16" hidden="1" thickBot="1">
      <c r="A38" s="421"/>
      <c r="B38" s="474">
        <v>36</v>
      </c>
      <c r="C38" s="488"/>
      <c r="D38" s="488"/>
      <c r="E38" s="491"/>
      <c r="F38" s="489"/>
      <c r="G38" s="489"/>
      <c r="H38" s="489"/>
      <c r="I38" s="489"/>
      <c r="J38" s="489"/>
      <c r="K38" s="489"/>
      <c r="L38" s="489"/>
      <c r="M38" s="489"/>
      <c r="N38" s="486" t="e">
        <f>+#REF!</f>
        <v>#REF!</v>
      </c>
      <c r="O38" s="492"/>
      <c r="P38" s="421"/>
    </row>
    <row r="39" spans="1:16" hidden="1" thickBot="1">
      <c r="A39" s="421"/>
      <c r="B39" s="474">
        <v>37</v>
      </c>
      <c r="C39" s="488"/>
      <c r="D39" s="488"/>
      <c r="E39" s="491"/>
      <c r="F39" s="489"/>
      <c r="G39" s="489"/>
      <c r="H39" s="489"/>
      <c r="I39" s="489"/>
      <c r="J39" s="489"/>
      <c r="K39" s="489"/>
      <c r="L39" s="489"/>
      <c r="M39" s="489"/>
      <c r="N39" s="486" t="e">
        <f>+N38</f>
        <v>#REF!</v>
      </c>
      <c r="O39" s="492"/>
      <c r="P39" s="421"/>
    </row>
    <row r="40" spans="1:16" hidden="1" thickBot="1">
      <c r="A40" s="421"/>
      <c r="B40" s="474">
        <v>38</v>
      </c>
      <c r="C40" s="488"/>
      <c r="D40" s="493"/>
      <c r="E40" s="491"/>
      <c r="F40" s="489"/>
      <c r="G40" s="489"/>
      <c r="H40" s="489"/>
      <c r="I40" s="489"/>
      <c r="J40" s="489"/>
      <c r="K40" s="489"/>
      <c r="L40" s="489"/>
      <c r="M40" s="489"/>
      <c r="N40" s="486" t="e">
        <f>+N39</f>
        <v>#REF!</v>
      </c>
      <c r="O40" s="492"/>
      <c r="P40" s="421"/>
    </row>
    <row r="41" spans="1:16" hidden="1" thickBot="1">
      <c r="A41" s="421"/>
      <c r="B41" s="474">
        <v>39</v>
      </c>
      <c r="C41" s="488"/>
      <c r="D41" s="493"/>
      <c r="E41" s="491"/>
      <c r="F41" s="489"/>
      <c r="G41" s="489"/>
      <c r="H41" s="489"/>
      <c r="I41" s="489"/>
      <c r="J41" s="489"/>
      <c r="K41" s="489"/>
      <c r="L41" s="489"/>
      <c r="M41" s="489"/>
      <c r="N41" s="486" t="e">
        <f>+N40</f>
        <v>#REF!</v>
      </c>
      <c r="O41" s="492"/>
      <c r="P41" s="421"/>
    </row>
    <row r="42" spans="1:16" hidden="1" thickBot="1">
      <c r="A42" s="421"/>
      <c r="B42" s="474">
        <v>40</v>
      </c>
      <c r="C42" s="488"/>
      <c r="D42" s="493"/>
      <c r="E42" s="491"/>
      <c r="F42" s="489"/>
      <c r="G42" s="489"/>
      <c r="H42" s="489"/>
      <c r="I42" s="489"/>
      <c r="J42" s="489"/>
      <c r="K42" s="489"/>
      <c r="L42" s="489"/>
      <c r="M42" s="489"/>
      <c r="N42" s="486" t="e">
        <f>+#REF!</f>
        <v>#REF!</v>
      </c>
      <c r="O42" s="492"/>
      <c r="P42" s="421"/>
    </row>
    <row r="43" spans="1:16" hidden="1" thickBot="1">
      <c r="A43" s="421"/>
      <c r="B43" s="474">
        <v>41</v>
      </c>
      <c r="C43" s="488"/>
      <c r="D43" s="493"/>
      <c r="E43" s="491"/>
      <c r="F43" s="489"/>
      <c r="G43" s="489"/>
      <c r="H43" s="489"/>
      <c r="I43" s="489"/>
      <c r="J43" s="489"/>
      <c r="K43" s="489"/>
      <c r="L43" s="489"/>
      <c r="M43" s="489"/>
      <c r="N43" s="486" t="e">
        <f>+#REF!</f>
        <v>#REF!</v>
      </c>
      <c r="O43" s="492"/>
      <c r="P43" s="421"/>
    </row>
    <row r="44" spans="1:16" hidden="1" thickBot="1">
      <c r="A44" s="421"/>
      <c r="B44" s="474">
        <v>42</v>
      </c>
      <c r="C44" s="488"/>
      <c r="D44" s="493"/>
      <c r="E44" s="491"/>
      <c r="F44" s="489"/>
      <c r="G44" s="489"/>
      <c r="H44" s="489"/>
      <c r="I44" s="489"/>
      <c r="J44" s="489"/>
      <c r="K44" s="489"/>
      <c r="L44" s="489"/>
      <c r="M44" s="489"/>
      <c r="N44" s="486" t="e">
        <f>+#REF!</f>
        <v>#REF!</v>
      </c>
      <c r="O44" s="492"/>
      <c r="P44" s="421"/>
    </row>
    <row r="45" spans="1:16" hidden="1" thickBot="1">
      <c r="A45" s="421"/>
      <c r="B45" s="474">
        <v>43</v>
      </c>
      <c r="C45" s="488"/>
      <c r="D45" s="493"/>
      <c r="E45" s="491"/>
      <c r="F45" s="489"/>
      <c r="G45" s="489"/>
      <c r="H45" s="489"/>
      <c r="I45" s="489"/>
      <c r="J45" s="489"/>
      <c r="K45" s="489"/>
      <c r="L45" s="489"/>
      <c r="M45" s="489"/>
      <c r="N45" s="486" t="e">
        <f>+N44</f>
        <v>#REF!</v>
      </c>
      <c r="O45" s="492"/>
      <c r="P45" s="421"/>
    </row>
    <row r="46" spans="1:16" hidden="1" thickBot="1">
      <c r="A46" s="421"/>
      <c r="B46" s="474">
        <v>44</v>
      </c>
      <c r="C46" s="488"/>
      <c r="D46" s="493"/>
      <c r="E46" s="491"/>
      <c r="F46" s="489"/>
      <c r="G46" s="489"/>
      <c r="H46" s="489"/>
      <c r="I46" s="489"/>
      <c r="J46" s="489"/>
      <c r="K46" s="489"/>
      <c r="L46" s="489"/>
      <c r="M46" s="489"/>
      <c r="N46" s="486" t="e">
        <f>+N45</f>
        <v>#REF!</v>
      </c>
      <c r="O46" s="492"/>
      <c r="P46" s="421"/>
    </row>
    <row r="47" spans="1:16" hidden="1" thickBot="1">
      <c r="A47" s="421"/>
      <c r="B47" s="474">
        <v>45</v>
      </c>
      <c r="C47" s="488"/>
      <c r="D47" s="493"/>
      <c r="E47" s="491"/>
      <c r="F47" s="489"/>
      <c r="G47" s="489"/>
      <c r="H47" s="489"/>
      <c r="I47" s="489"/>
      <c r="J47" s="489"/>
      <c r="K47" s="489"/>
      <c r="L47" s="489"/>
      <c r="M47" s="489"/>
      <c r="N47" s="486" t="e">
        <f>+N46</f>
        <v>#REF!</v>
      </c>
      <c r="O47" s="492"/>
      <c r="P47" s="421"/>
    </row>
    <row r="48" spans="1:16" hidden="1" thickBot="1">
      <c r="A48" s="421"/>
      <c r="B48" s="474">
        <v>46</v>
      </c>
      <c r="C48" s="488"/>
      <c r="D48" s="493"/>
      <c r="E48" s="491"/>
      <c r="F48" s="489"/>
      <c r="G48" s="489"/>
      <c r="H48" s="489"/>
      <c r="I48" s="489"/>
      <c r="J48" s="489"/>
      <c r="K48" s="489"/>
      <c r="L48" s="489"/>
      <c r="M48" s="489"/>
      <c r="N48" s="486" t="e">
        <f>+N47</f>
        <v>#REF!</v>
      </c>
      <c r="O48" s="492"/>
      <c r="P48" s="421"/>
    </row>
    <row r="49" spans="1:16" hidden="1" thickBot="1">
      <c r="A49" s="421"/>
      <c r="B49" s="474">
        <v>47</v>
      </c>
      <c r="C49" s="488"/>
      <c r="D49" s="493"/>
      <c r="E49" s="491"/>
      <c r="F49" s="489"/>
      <c r="G49" s="489"/>
      <c r="H49" s="489"/>
      <c r="I49" s="489"/>
      <c r="J49" s="489"/>
      <c r="K49" s="489"/>
      <c r="L49" s="489"/>
      <c r="M49" s="489"/>
      <c r="N49" s="486" t="e">
        <f>+N48</f>
        <v>#REF!</v>
      </c>
      <c r="O49" s="492"/>
      <c r="P49" s="421"/>
    </row>
    <row r="50" spans="1:16" hidden="1" thickBot="1">
      <c r="A50" s="421"/>
      <c r="B50" s="474">
        <v>48</v>
      </c>
      <c r="C50" s="488"/>
      <c r="D50" s="493"/>
      <c r="E50" s="491"/>
      <c r="F50" s="489"/>
      <c r="G50" s="489"/>
      <c r="H50" s="489"/>
      <c r="I50" s="489"/>
      <c r="J50" s="489"/>
      <c r="K50" s="489"/>
      <c r="L50" s="489"/>
      <c r="M50" s="489"/>
      <c r="N50" s="486" t="e">
        <f>+N43</f>
        <v>#REF!</v>
      </c>
      <c r="O50" s="492"/>
      <c r="P50" s="421"/>
    </row>
    <row r="51" spans="1:16" hidden="1" thickBot="1">
      <c r="A51" s="421"/>
      <c r="B51" s="474">
        <v>49</v>
      </c>
      <c r="C51" s="488"/>
      <c r="D51" s="493"/>
      <c r="E51" s="491"/>
      <c r="F51" s="489"/>
      <c r="G51" s="489"/>
      <c r="H51" s="489"/>
      <c r="I51" s="489"/>
      <c r="J51" s="489"/>
      <c r="K51" s="489"/>
      <c r="L51" s="489"/>
      <c r="M51" s="489"/>
      <c r="N51" s="486">
        <v>1671</v>
      </c>
      <c r="O51" s="492"/>
      <c r="P51" s="421"/>
    </row>
    <row r="52" spans="1:16" hidden="1" thickBot="1">
      <c r="A52" s="421"/>
      <c r="B52" s="474">
        <v>50</v>
      </c>
      <c r="C52" s="488"/>
      <c r="D52" s="493"/>
      <c r="E52" s="491"/>
      <c r="F52" s="489"/>
      <c r="G52" s="489"/>
      <c r="H52" s="489"/>
      <c r="I52" s="489"/>
      <c r="J52" s="489"/>
      <c r="K52" s="489"/>
      <c r="L52" s="489"/>
      <c r="M52" s="489"/>
      <c r="N52" s="486">
        <v>1671</v>
      </c>
      <c r="O52" s="492"/>
      <c r="P52" s="421"/>
    </row>
    <row r="53" spans="1:16" hidden="1" thickBot="1">
      <c r="A53" s="421"/>
      <c r="B53" s="474">
        <v>51</v>
      </c>
      <c r="C53" s="488"/>
      <c r="D53" s="493"/>
      <c r="E53" s="491"/>
      <c r="F53" s="489"/>
      <c r="G53" s="489"/>
      <c r="H53" s="489"/>
      <c r="I53" s="489"/>
      <c r="J53" s="489"/>
      <c r="K53" s="489"/>
      <c r="L53" s="489"/>
      <c r="M53" s="489"/>
      <c r="N53" s="486">
        <v>1671</v>
      </c>
      <c r="O53" s="492"/>
      <c r="P53" s="421"/>
    </row>
    <row r="54" spans="1:16" hidden="1" thickBot="1">
      <c r="A54" s="421"/>
      <c r="B54" s="474">
        <v>52</v>
      </c>
      <c r="C54" s="488"/>
      <c r="D54" s="493"/>
      <c r="E54" s="491"/>
      <c r="F54" s="489"/>
      <c r="G54" s="489"/>
      <c r="H54" s="489"/>
      <c r="I54" s="489"/>
      <c r="J54" s="489"/>
      <c r="K54" s="489"/>
      <c r="L54" s="489"/>
      <c r="M54" s="489"/>
      <c r="N54" s="486">
        <v>1671</v>
      </c>
      <c r="O54" s="492"/>
      <c r="P54" s="421"/>
    </row>
    <row r="55" spans="1:16" hidden="1" thickBot="1">
      <c r="A55" s="421"/>
      <c r="B55" s="474">
        <v>53</v>
      </c>
      <c r="C55" s="488"/>
      <c r="D55" s="493"/>
      <c r="E55" s="491"/>
      <c r="F55" s="489"/>
      <c r="G55" s="489"/>
      <c r="H55" s="489"/>
      <c r="I55" s="489"/>
      <c r="J55" s="489"/>
      <c r="K55" s="489"/>
      <c r="L55" s="489"/>
      <c r="M55" s="489"/>
      <c r="N55" s="486">
        <v>1671</v>
      </c>
      <c r="O55" s="492"/>
      <c r="P55" s="421"/>
    </row>
    <row r="56" spans="1:16" hidden="1" thickBot="1">
      <c r="A56" s="421"/>
      <c r="B56" s="474">
        <v>54</v>
      </c>
      <c r="C56" s="488"/>
      <c r="D56" s="493"/>
      <c r="E56" s="491"/>
      <c r="F56" s="489"/>
      <c r="G56" s="489"/>
      <c r="H56" s="489"/>
      <c r="I56" s="489"/>
      <c r="J56" s="489"/>
      <c r="K56" s="489"/>
      <c r="L56" s="489"/>
      <c r="M56" s="489"/>
      <c r="N56" s="486">
        <v>1671</v>
      </c>
      <c r="O56" s="492"/>
      <c r="P56" s="421"/>
    </row>
    <row r="57" spans="1:16" hidden="1" thickBot="1">
      <c r="A57" s="421"/>
      <c r="B57" s="474">
        <v>55</v>
      </c>
      <c r="C57" s="488"/>
      <c r="D57" s="493"/>
      <c r="E57" s="491"/>
      <c r="F57" s="489"/>
      <c r="G57" s="489"/>
      <c r="H57" s="489"/>
      <c r="I57" s="489"/>
      <c r="J57" s="489"/>
      <c r="K57" s="489"/>
      <c r="L57" s="489"/>
      <c r="M57" s="489"/>
      <c r="N57" s="486">
        <v>1671</v>
      </c>
      <c r="O57" s="492"/>
      <c r="P57" s="421"/>
    </row>
    <row r="58" spans="1:16" hidden="1" thickBot="1">
      <c r="A58" s="421"/>
      <c r="B58" s="474">
        <v>56</v>
      </c>
      <c r="C58" s="488"/>
      <c r="D58" s="493"/>
      <c r="E58" s="491"/>
      <c r="F58" s="489"/>
      <c r="G58" s="489"/>
      <c r="H58" s="489"/>
      <c r="I58" s="489"/>
      <c r="J58" s="489"/>
      <c r="K58" s="489"/>
      <c r="L58" s="489"/>
      <c r="M58" s="489"/>
      <c r="N58" s="486">
        <v>1671</v>
      </c>
      <c r="O58" s="492"/>
      <c r="P58" s="421"/>
    </row>
    <row r="59" spans="1:16" hidden="1" thickBot="1">
      <c r="A59" s="421"/>
      <c r="B59" s="474">
        <v>57</v>
      </c>
      <c r="C59" s="488"/>
      <c r="D59" s="493"/>
      <c r="E59" s="491"/>
      <c r="F59" s="489"/>
      <c r="G59" s="489"/>
      <c r="H59" s="489"/>
      <c r="I59" s="489"/>
      <c r="J59" s="489"/>
      <c r="K59" s="489"/>
      <c r="L59" s="489"/>
      <c r="M59" s="489"/>
      <c r="N59" s="486">
        <v>1671</v>
      </c>
      <c r="O59" s="492"/>
      <c r="P59" s="421"/>
    </row>
    <row r="60" spans="1:16" hidden="1" thickBot="1">
      <c r="A60" s="421"/>
      <c r="B60" s="474">
        <v>58</v>
      </c>
      <c r="C60" s="488"/>
      <c r="D60" s="493"/>
      <c r="E60" s="491"/>
      <c r="F60" s="489"/>
      <c r="G60" s="489"/>
      <c r="H60" s="489"/>
      <c r="I60" s="489"/>
      <c r="J60" s="489"/>
      <c r="K60" s="489"/>
      <c r="L60" s="489"/>
      <c r="M60" s="489"/>
      <c r="N60" s="486">
        <v>1671</v>
      </c>
      <c r="O60" s="492"/>
      <c r="P60" s="421"/>
    </row>
    <row r="61" spans="1:16" hidden="1" thickBot="1">
      <c r="A61" s="421"/>
      <c r="B61" s="474">
        <v>59</v>
      </c>
      <c r="C61" s="488"/>
      <c r="D61" s="493"/>
      <c r="E61" s="491"/>
      <c r="F61" s="489"/>
      <c r="G61" s="489"/>
      <c r="H61" s="489"/>
      <c r="I61" s="489"/>
      <c r="J61" s="489"/>
      <c r="K61" s="489"/>
      <c r="L61" s="489"/>
      <c r="M61" s="489"/>
      <c r="N61" s="486">
        <v>1671</v>
      </c>
      <c r="O61" s="492"/>
      <c r="P61" s="421"/>
    </row>
    <row r="62" spans="1:16" hidden="1" thickBot="1">
      <c r="A62" s="421"/>
      <c r="B62" s="474">
        <v>60</v>
      </c>
      <c r="C62" s="488"/>
      <c r="D62" s="493"/>
      <c r="E62" s="491"/>
      <c r="F62" s="489"/>
      <c r="G62" s="489"/>
      <c r="H62" s="489"/>
      <c r="I62" s="489"/>
      <c r="J62" s="489"/>
      <c r="K62" s="489"/>
      <c r="L62" s="489"/>
      <c r="M62" s="489"/>
      <c r="N62" s="486">
        <v>1671</v>
      </c>
      <c r="O62" s="492"/>
      <c r="P62" s="421"/>
    </row>
    <row r="63" spans="1:16" hidden="1" thickBot="1">
      <c r="A63" s="421"/>
      <c r="B63" s="474">
        <v>61</v>
      </c>
      <c r="C63" s="488"/>
      <c r="D63" s="493"/>
      <c r="E63" s="491"/>
      <c r="F63" s="489"/>
      <c r="G63" s="489"/>
      <c r="H63" s="489"/>
      <c r="I63" s="489"/>
      <c r="J63" s="489"/>
      <c r="K63" s="489"/>
      <c r="L63" s="489"/>
      <c r="M63" s="489"/>
      <c r="N63" s="486">
        <v>1671</v>
      </c>
      <c r="O63" s="492"/>
      <c r="P63" s="421"/>
    </row>
    <row r="64" spans="1:16" hidden="1" thickBot="1">
      <c r="A64" s="421"/>
      <c r="B64" s="474">
        <v>62</v>
      </c>
      <c r="C64" s="488"/>
      <c r="D64" s="493"/>
      <c r="E64" s="491"/>
      <c r="F64" s="489"/>
      <c r="G64" s="489"/>
      <c r="H64" s="489"/>
      <c r="I64" s="489"/>
      <c r="J64" s="489"/>
      <c r="K64" s="489"/>
      <c r="L64" s="489"/>
      <c r="M64" s="489"/>
      <c r="N64" s="486">
        <v>1671</v>
      </c>
      <c r="O64" s="492"/>
      <c r="P64" s="421"/>
    </row>
    <row r="65" spans="1:16" hidden="1" thickBot="1">
      <c r="A65" s="421"/>
      <c r="B65" s="474">
        <v>63</v>
      </c>
      <c r="C65" s="488"/>
      <c r="D65" s="493"/>
      <c r="E65" s="491"/>
      <c r="F65" s="489"/>
      <c r="G65" s="489"/>
      <c r="H65" s="489"/>
      <c r="I65" s="489"/>
      <c r="J65" s="489"/>
      <c r="K65" s="489"/>
      <c r="L65" s="489"/>
      <c r="M65" s="489"/>
      <c r="N65" s="486">
        <v>1671</v>
      </c>
      <c r="O65" s="492"/>
      <c r="P65" s="421"/>
    </row>
    <row r="66" spans="1:16" hidden="1" thickBot="1">
      <c r="A66" s="421"/>
      <c r="B66" s="474">
        <v>64</v>
      </c>
      <c r="C66" s="488"/>
      <c r="D66" s="493"/>
      <c r="E66" s="491"/>
      <c r="F66" s="489"/>
      <c r="G66" s="489"/>
      <c r="H66" s="489"/>
      <c r="I66" s="489"/>
      <c r="J66" s="489"/>
      <c r="K66" s="489"/>
      <c r="L66" s="489"/>
      <c r="M66" s="489"/>
      <c r="N66" s="486">
        <v>1671</v>
      </c>
      <c r="O66" s="492"/>
      <c r="P66" s="421"/>
    </row>
    <row r="67" spans="1:16" hidden="1" thickBot="1">
      <c r="A67" s="421"/>
      <c r="B67" s="474">
        <v>65</v>
      </c>
      <c r="C67" s="488"/>
      <c r="D67" s="493"/>
      <c r="E67" s="491"/>
      <c r="F67" s="489"/>
      <c r="G67" s="489"/>
      <c r="H67" s="489"/>
      <c r="I67" s="489"/>
      <c r="J67" s="489"/>
      <c r="K67" s="489"/>
      <c r="L67" s="489"/>
      <c r="M67" s="489"/>
      <c r="N67" s="486">
        <v>1671</v>
      </c>
      <c r="O67" s="492"/>
      <c r="P67" s="421"/>
    </row>
    <row r="68" spans="1:16" hidden="1" thickBot="1">
      <c r="A68" s="421"/>
      <c r="B68" s="474">
        <v>66</v>
      </c>
      <c r="C68" s="488"/>
      <c r="D68" s="488"/>
      <c r="E68" s="491"/>
      <c r="F68" s="489"/>
      <c r="G68" s="489"/>
      <c r="H68" s="489"/>
      <c r="I68" s="489"/>
      <c r="J68" s="489"/>
      <c r="K68" s="489"/>
      <c r="L68" s="489"/>
      <c r="M68" s="489"/>
      <c r="N68" s="486">
        <v>1140</v>
      </c>
      <c r="O68" s="492"/>
      <c r="P68" s="421"/>
    </row>
    <row r="69" spans="1:16" hidden="1" thickBot="1">
      <c r="A69" s="421"/>
      <c r="B69" s="474">
        <v>67</v>
      </c>
      <c r="C69" s="488"/>
      <c r="D69" s="488"/>
      <c r="E69" s="491"/>
      <c r="F69" s="489"/>
      <c r="G69" s="489"/>
      <c r="H69" s="489"/>
      <c r="I69" s="489"/>
      <c r="J69" s="489"/>
      <c r="K69" s="489"/>
      <c r="L69" s="489"/>
      <c r="M69" s="489"/>
      <c r="N69" s="486">
        <v>1140</v>
      </c>
      <c r="O69" s="492"/>
      <c r="P69" s="421"/>
    </row>
    <row r="70" spans="1:16" hidden="1" thickBot="1">
      <c r="A70" s="421"/>
      <c r="B70" s="474">
        <v>68</v>
      </c>
      <c r="C70" s="488"/>
      <c r="D70" s="488"/>
      <c r="E70" s="491"/>
      <c r="F70" s="489"/>
      <c r="G70" s="489"/>
      <c r="H70" s="489"/>
      <c r="I70" s="489"/>
      <c r="J70" s="489"/>
      <c r="K70" s="489"/>
      <c r="L70" s="489"/>
      <c r="M70" s="489"/>
      <c r="N70" s="486">
        <v>1671</v>
      </c>
      <c r="O70" s="492"/>
      <c r="P70" s="421"/>
    </row>
    <row r="71" spans="1:16" hidden="1" thickBot="1">
      <c r="A71" s="421"/>
      <c r="B71" s="474">
        <v>69</v>
      </c>
      <c r="C71" s="488"/>
      <c r="D71" s="488"/>
      <c r="E71" s="491"/>
      <c r="F71" s="489"/>
      <c r="G71" s="489"/>
      <c r="H71" s="489"/>
      <c r="I71" s="489"/>
      <c r="J71" s="489"/>
      <c r="K71" s="489"/>
      <c r="L71" s="489"/>
      <c r="M71" s="489"/>
      <c r="N71" s="486">
        <v>1671</v>
      </c>
      <c r="O71" s="492"/>
      <c r="P71" s="421"/>
    </row>
    <row r="72" spans="1:16" hidden="1" thickBot="1">
      <c r="A72" s="421"/>
      <c r="B72" s="474">
        <v>70</v>
      </c>
      <c r="C72" s="488"/>
      <c r="D72" s="493"/>
      <c r="E72" s="491"/>
      <c r="F72" s="489"/>
      <c r="G72" s="489"/>
      <c r="H72" s="489"/>
      <c r="I72" s="489"/>
      <c r="J72" s="489"/>
      <c r="K72" s="489"/>
      <c r="L72" s="489"/>
      <c r="M72" s="489"/>
      <c r="N72" s="486">
        <v>1671</v>
      </c>
      <c r="O72" s="492"/>
      <c r="P72" s="421"/>
    </row>
    <row r="73" spans="1:16" hidden="1" thickBot="1">
      <c r="A73" s="421"/>
      <c r="B73" s="474">
        <v>71</v>
      </c>
      <c r="C73" s="488"/>
      <c r="D73" s="493"/>
      <c r="E73" s="491"/>
      <c r="F73" s="489"/>
      <c r="G73" s="489"/>
      <c r="H73" s="489"/>
      <c r="I73" s="489"/>
      <c r="J73" s="489"/>
      <c r="K73" s="489"/>
      <c r="L73" s="489"/>
      <c r="M73" s="489"/>
      <c r="N73" s="486">
        <v>1671</v>
      </c>
      <c r="O73" s="492"/>
      <c r="P73" s="421"/>
    </row>
    <row r="74" spans="1:16" hidden="1" thickBot="1">
      <c r="A74" s="421"/>
      <c r="B74" s="474">
        <v>72</v>
      </c>
      <c r="C74" s="488"/>
      <c r="D74" s="493"/>
      <c r="E74" s="491"/>
      <c r="F74" s="489"/>
      <c r="G74" s="489"/>
      <c r="H74" s="489"/>
      <c r="I74" s="489"/>
      <c r="J74" s="489"/>
      <c r="K74" s="489"/>
      <c r="L74" s="489"/>
      <c r="M74" s="489"/>
      <c r="N74" s="486">
        <v>1671</v>
      </c>
      <c r="O74" s="492"/>
      <c r="P74" s="421"/>
    </row>
    <row r="75" spans="1:16" hidden="1" thickBot="1">
      <c r="A75" s="421"/>
      <c r="B75" s="474">
        <v>73</v>
      </c>
      <c r="C75" s="488"/>
      <c r="D75" s="493"/>
      <c r="E75" s="491"/>
      <c r="F75" s="489"/>
      <c r="G75" s="489"/>
      <c r="H75" s="489"/>
      <c r="I75" s="489"/>
      <c r="J75" s="489"/>
      <c r="K75" s="489"/>
      <c r="L75" s="489"/>
      <c r="M75" s="489"/>
      <c r="N75" s="486">
        <v>1671</v>
      </c>
      <c r="O75" s="492"/>
      <c r="P75" s="421"/>
    </row>
    <row r="76" spans="1:16" hidden="1" thickBot="1">
      <c r="A76" s="421"/>
      <c r="B76" s="474">
        <v>74</v>
      </c>
      <c r="C76" s="488"/>
      <c r="D76" s="493"/>
      <c r="E76" s="491"/>
      <c r="F76" s="489"/>
      <c r="G76" s="489"/>
      <c r="H76" s="489"/>
      <c r="I76" s="489"/>
      <c r="J76" s="489"/>
      <c r="K76" s="489"/>
      <c r="L76" s="489"/>
      <c r="M76" s="489"/>
      <c r="N76" s="486">
        <v>1671</v>
      </c>
      <c r="O76" s="492"/>
      <c r="P76" s="421"/>
    </row>
    <row r="77" spans="1:16" hidden="1" thickBot="1">
      <c r="A77" s="421"/>
      <c r="B77" s="474">
        <v>75</v>
      </c>
      <c r="C77" s="488"/>
      <c r="D77" s="493"/>
      <c r="E77" s="491"/>
      <c r="F77" s="489"/>
      <c r="G77" s="489"/>
      <c r="H77" s="489"/>
      <c r="I77" s="489"/>
      <c r="J77" s="489"/>
      <c r="K77" s="489"/>
      <c r="L77" s="489"/>
      <c r="M77" s="489"/>
      <c r="N77" s="486">
        <v>1671</v>
      </c>
      <c r="O77" s="492"/>
      <c r="P77" s="421"/>
    </row>
    <row r="78" spans="1:16" hidden="1" thickBot="1">
      <c r="A78" s="421"/>
      <c r="B78" s="474">
        <v>76</v>
      </c>
      <c r="C78" s="488"/>
      <c r="D78" s="493"/>
      <c r="E78" s="491"/>
      <c r="F78" s="489"/>
      <c r="G78" s="489"/>
      <c r="H78" s="489"/>
      <c r="I78" s="489"/>
      <c r="J78" s="489"/>
      <c r="K78" s="489"/>
      <c r="L78" s="489"/>
      <c r="M78" s="489"/>
      <c r="N78" s="486">
        <v>1671</v>
      </c>
      <c r="O78" s="492"/>
      <c r="P78" s="421"/>
    </row>
    <row r="79" spans="1:16" hidden="1" thickBot="1">
      <c r="A79" s="421"/>
      <c r="B79" s="474">
        <v>77</v>
      </c>
      <c r="C79" s="488"/>
      <c r="D79" s="493"/>
      <c r="E79" s="491"/>
      <c r="F79" s="489"/>
      <c r="G79" s="489"/>
      <c r="H79" s="489"/>
      <c r="I79" s="489"/>
      <c r="J79" s="489"/>
      <c r="K79" s="489"/>
      <c r="L79" s="489"/>
      <c r="M79" s="489"/>
      <c r="N79" s="486">
        <v>1671</v>
      </c>
      <c r="O79" s="492"/>
      <c r="P79" s="421"/>
    </row>
    <row r="80" spans="1:16" hidden="1" thickBot="1">
      <c r="A80" s="421"/>
      <c r="B80" s="474">
        <v>78</v>
      </c>
      <c r="C80" s="488"/>
      <c r="D80" s="493"/>
      <c r="E80" s="491"/>
      <c r="F80" s="489"/>
      <c r="G80" s="489"/>
      <c r="H80" s="489"/>
      <c r="I80" s="489"/>
      <c r="J80" s="489"/>
      <c r="K80" s="489"/>
      <c r="L80" s="489"/>
      <c r="M80" s="489"/>
      <c r="N80" s="486">
        <v>1671</v>
      </c>
      <c r="O80" s="492"/>
      <c r="P80" s="421"/>
    </row>
    <row r="81" spans="1:16" hidden="1" thickBot="1">
      <c r="A81" s="421"/>
      <c r="B81" s="474">
        <v>79</v>
      </c>
      <c r="C81" s="488"/>
      <c r="D81" s="493"/>
      <c r="E81" s="491"/>
      <c r="F81" s="489"/>
      <c r="G81" s="489"/>
      <c r="H81" s="489"/>
      <c r="I81" s="489"/>
      <c r="J81" s="489"/>
      <c r="K81" s="489"/>
      <c r="L81" s="489"/>
      <c r="M81" s="489"/>
      <c r="N81" s="486">
        <v>1671</v>
      </c>
      <c r="O81" s="492"/>
      <c r="P81" s="421"/>
    </row>
    <row r="82" spans="1:16" hidden="1" thickBot="1">
      <c r="A82" s="421"/>
      <c r="B82" s="474">
        <v>80</v>
      </c>
      <c r="C82" s="488"/>
      <c r="D82" s="493"/>
      <c r="E82" s="491"/>
      <c r="F82" s="489"/>
      <c r="G82" s="489"/>
      <c r="H82" s="489"/>
      <c r="I82" s="489"/>
      <c r="J82" s="489"/>
      <c r="K82" s="489"/>
      <c r="L82" s="489"/>
      <c r="M82" s="489"/>
      <c r="N82" s="486">
        <v>1671</v>
      </c>
      <c r="O82" s="492"/>
      <c r="P82" s="421"/>
    </row>
    <row r="83" spans="1:16" hidden="1" thickBot="1">
      <c r="A83" s="421"/>
      <c r="B83" s="474">
        <v>81</v>
      </c>
      <c r="C83" s="488"/>
      <c r="D83" s="493"/>
      <c r="E83" s="491"/>
      <c r="F83" s="489"/>
      <c r="G83" s="489"/>
      <c r="H83" s="489"/>
      <c r="I83" s="489"/>
      <c r="J83" s="489"/>
      <c r="K83" s="489"/>
      <c r="L83" s="489"/>
      <c r="M83" s="489"/>
      <c r="N83" s="486">
        <v>1671</v>
      </c>
      <c r="O83" s="492"/>
      <c r="P83" s="421"/>
    </row>
    <row r="84" spans="1:16" hidden="1" thickBot="1">
      <c r="A84" s="421"/>
      <c r="B84" s="474">
        <v>82</v>
      </c>
      <c r="C84" s="488"/>
      <c r="D84" s="493"/>
      <c r="E84" s="491"/>
      <c r="F84" s="489"/>
      <c r="G84" s="489"/>
      <c r="H84" s="489"/>
      <c r="I84" s="489"/>
      <c r="J84" s="489"/>
      <c r="K84" s="489"/>
      <c r="L84" s="489"/>
      <c r="M84" s="489"/>
      <c r="N84" s="486">
        <v>1671</v>
      </c>
      <c r="O84" s="492"/>
      <c r="P84" s="421"/>
    </row>
    <row r="85" spans="1:16" hidden="1" thickBot="1">
      <c r="A85" s="421"/>
      <c r="B85" s="474">
        <v>83</v>
      </c>
      <c r="C85" s="488"/>
      <c r="D85" s="493"/>
      <c r="E85" s="491"/>
      <c r="F85" s="489"/>
      <c r="G85" s="489"/>
      <c r="H85" s="489"/>
      <c r="I85" s="489"/>
      <c r="J85" s="489"/>
      <c r="K85" s="489"/>
      <c r="L85" s="489"/>
      <c r="M85" s="489"/>
      <c r="N85" s="486">
        <v>1671</v>
      </c>
      <c r="O85" s="492"/>
      <c r="P85" s="421"/>
    </row>
    <row r="86" spans="1:16" hidden="1" thickBot="1">
      <c r="A86" s="421"/>
      <c r="B86" s="474">
        <v>84</v>
      </c>
      <c r="C86" s="488"/>
      <c r="D86" s="493"/>
      <c r="E86" s="491"/>
      <c r="F86" s="489"/>
      <c r="G86" s="489"/>
      <c r="H86" s="489"/>
      <c r="I86" s="489"/>
      <c r="J86" s="489"/>
      <c r="K86" s="489"/>
      <c r="L86" s="489"/>
      <c r="M86" s="489"/>
      <c r="N86" s="486" t="e">
        <f>+#REF!</f>
        <v>#REF!</v>
      </c>
      <c r="O86" s="492"/>
      <c r="P86" s="421"/>
    </row>
    <row r="87" spans="1:16" hidden="1" thickBot="1">
      <c r="A87" s="421"/>
      <c r="B87" s="474">
        <v>85</v>
      </c>
      <c r="C87" s="488"/>
      <c r="D87" s="493"/>
      <c r="E87" s="491"/>
      <c r="F87" s="489"/>
      <c r="G87" s="489"/>
      <c r="H87" s="489"/>
      <c r="I87" s="489"/>
      <c r="J87" s="489"/>
      <c r="K87" s="489"/>
      <c r="L87" s="489"/>
      <c r="M87" s="489"/>
      <c r="N87" s="486" t="e">
        <f>+#REF!</f>
        <v>#REF!</v>
      </c>
      <c r="O87" s="492"/>
      <c r="P87" s="421"/>
    </row>
    <row r="88" spans="1:16" hidden="1" thickBot="1">
      <c r="A88" s="421"/>
      <c r="B88" s="474">
        <v>86</v>
      </c>
      <c r="C88" s="488"/>
      <c r="D88" s="493"/>
      <c r="E88" s="491"/>
      <c r="F88" s="489"/>
      <c r="G88" s="489"/>
      <c r="H88" s="489"/>
      <c r="I88" s="489"/>
      <c r="J88" s="489"/>
      <c r="K88" s="489"/>
      <c r="L88" s="489"/>
      <c r="M88" s="489"/>
      <c r="N88" s="486" t="e">
        <f>+N87</f>
        <v>#REF!</v>
      </c>
      <c r="O88" s="492"/>
      <c r="P88" s="421"/>
    </row>
    <row r="89" spans="1:16" hidden="1" thickBot="1">
      <c r="A89" s="421"/>
      <c r="B89" s="494">
        <v>87</v>
      </c>
      <c r="C89" s="495"/>
      <c r="D89" s="496"/>
      <c r="E89" s="497"/>
      <c r="F89" s="498"/>
      <c r="G89" s="498"/>
      <c r="H89" s="498"/>
      <c r="I89" s="498"/>
      <c r="J89" s="498"/>
      <c r="K89" s="498"/>
      <c r="L89" s="498"/>
      <c r="M89" s="498"/>
      <c r="N89" s="499" t="e">
        <f>+N88</f>
        <v>#REF!</v>
      </c>
      <c r="O89" s="500"/>
      <c r="P89" s="421"/>
    </row>
    <row r="90" spans="1:16" thickBot="1">
      <c r="A90" s="421"/>
      <c r="B90" s="501"/>
      <c r="C90" s="502"/>
      <c r="D90" s="503"/>
      <c r="E90" s="502"/>
      <c r="F90" s="504">
        <f>SUM(F26:F89)</f>
        <v>300000000</v>
      </c>
      <c r="G90" s="504">
        <f>SUM(G26:G89)</f>
        <v>300000000</v>
      </c>
      <c r="H90" s="504">
        <f>SUM(H26:H89)</f>
        <v>0</v>
      </c>
      <c r="I90" s="504">
        <f>SUM(I26:I89)</f>
        <v>0</v>
      </c>
      <c r="J90" s="504">
        <f>SUM(J26:J27)</f>
        <v>0</v>
      </c>
      <c r="K90" s="504">
        <f>SUM(K26:K27)</f>
        <v>0</v>
      </c>
      <c r="L90" s="504">
        <f>SUM(L26:L27)</f>
        <v>0</v>
      </c>
      <c r="M90" s="504">
        <f>SUM(M26:M27)</f>
        <v>0</v>
      </c>
      <c r="N90" s="505"/>
      <c r="O90" s="506"/>
      <c r="P90" s="421"/>
    </row>
    <row r="91" spans="1:16" ht="16.5" thickBot="1">
      <c r="A91" s="421"/>
      <c r="B91" s="507"/>
      <c r="C91" s="425"/>
      <c r="D91" s="425"/>
      <c r="E91" s="425"/>
      <c r="F91" s="425"/>
      <c r="G91" s="425"/>
      <c r="H91" s="425"/>
      <c r="I91" s="425"/>
      <c r="J91" s="425"/>
      <c r="K91" s="425"/>
      <c r="L91" s="421"/>
      <c r="M91" s="421"/>
      <c r="N91" s="508"/>
      <c r="O91" s="509">
        <f>SUM(O26:O90)</f>
        <v>0</v>
      </c>
      <c r="P91" s="421"/>
    </row>
    <row r="92" spans="1:16" ht="16.5" thickBot="1">
      <c r="A92" s="421"/>
      <c r="B92" s="510" t="s">
        <v>498</v>
      </c>
      <c r="C92" s="511"/>
      <c r="D92" s="511"/>
      <c r="E92" s="511"/>
      <c r="F92" s="511"/>
      <c r="G92" s="511"/>
      <c r="H92" s="511"/>
      <c r="I92" s="511"/>
      <c r="J92" s="511"/>
      <c r="K92" s="512"/>
      <c r="L92" s="466" t="s">
        <v>499</v>
      </c>
      <c r="M92" s="421"/>
      <c r="N92" s="508"/>
      <c r="O92" s="513"/>
      <c r="P92" s="421"/>
    </row>
    <row r="93" spans="1:16">
      <c r="A93" s="421"/>
      <c r="B93" s="514" t="s">
        <v>500</v>
      </c>
      <c r="C93" s="515"/>
      <c r="D93" s="466" t="s">
        <v>501</v>
      </c>
      <c r="E93" s="466" t="s">
        <v>502</v>
      </c>
      <c r="F93" s="466" t="s">
        <v>503</v>
      </c>
      <c r="G93" s="466" t="s">
        <v>504</v>
      </c>
      <c r="H93" s="466" t="s">
        <v>505</v>
      </c>
      <c r="I93" s="466" t="s">
        <v>506</v>
      </c>
      <c r="J93" s="466" t="s">
        <v>507</v>
      </c>
      <c r="K93" s="466" t="s">
        <v>508</v>
      </c>
      <c r="L93" s="470"/>
      <c r="M93" s="421"/>
      <c r="N93" s="423"/>
      <c r="O93" s="516"/>
      <c r="P93" s="421"/>
    </row>
    <row r="94" spans="1:16" ht="16.5" thickBot="1">
      <c r="A94" s="421"/>
      <c r="B94" s="517"/>
      <c r="C94" s="518"/>
      <c r="D94" s="519"/>
      <c r="E94" s="519"/>
      <c r="F94" s="519"/>
      <c r="G94" s="519"/>
      <c r="H94" s="519"/>
      <c r="I94" s="519"/>
      <c r="J94" s="519"/>
      <c r="K94" s="519" t="s">
        <v>509</v>
      </c>
      <c r="L94" s="470"/>
      <c r="M94" s="421"/>
      <c r="N94" s="423"/>
      <c r="O94" s="424"/>
      <c r="P94" s="421"/>
    </row>
    <row r="95" spans="1:16" ht="16.5" thickBot="1">
      <c r="A95" s="421"/>
      <c r="B95" s="476"/>
      <c r="C95" s="476">
        <f t="shared" ref="C95:J95" si="1">+F90</f>
        <v>300000000</v>
      </c>
      <c r="D95" s="476">
        <f t="shared" si="1"/>
        <v>300000000</v>
      </c>
      <c r="E95" s="476">
        <f t="shared" si="1"/>
        <v>0</v>
      </c>
      <c r="F95" s="476">
        <f t="shared" si="1"/>
        <v>0</v>
      </c>
      <c r="G95" s="476">
        <f t="shared" si="1"/>
        <v>0</v>
      </c>
      <c r="H95" s="476">
        <f t="shared" si="1"/>
        <v>0</v>
      </c>
      <c r="I95" s="476">
        <f t="shared" si="1"/>
        <v>0</v>
      </c>
      <c r="J95" s="476">
        <f t="shared" si="1"/>
        <v>0</v>
      </c>
      <c r="K95" s="476"/>
      <c r="L95" s="520">
        <v>15</v>
      </c>
      <c r="M95" s="421"/>
      <c r="N95" s="423"/>
      <c r="O95" s="424"/>
      <c r="P95" s="421"/>
    </row>
    <row r="96" spans="1:16">
      <c r="A96" s="421"/>
      <c r="B96" s="521" t="s">
        <v>510</v>
      </c>
      <c r="C96" s="425"/>
      <c r="D96" s="425"/>
      <c r="E96" s="425"/>
      <c r="F96" s="425"/>
      <c r="G96" s="425"/>
      <c r="H96" s="425"/>
      <c r="I96" s="425"/>
      <c r="J96" s="425"/>
      <c r="K96" s="425"/>
      <c r="L96" s="421"/>
      <c r="M96" s="421"/>
      <c r="N96" s="423"/>
      <c r="O96" s="424"/>
      <c r="P96" s="421"/>
    </row>
    <row r="97" spans="1:16" ht="16.5" thickBot="1">
      <c r="A97" s="421"/>
      <c r="B97" s="522"/>
      <c r="C97" s="425"/>
      <c r="D97" s="425"/>
      <c r="E97" s="425"/>
      <c r="F97" s="425"/>
      <c r="G97" s="425"/>
      <c r="H97" s="425"/>
      <c r="I97" s="425"/>
      <c r="J97" s="425"/>
      <c r="K97" s="425"/>
      <c r="L97" s="421"/>
      <c r="M97" s="421"/>
      <c r="N97" s="423"/>
      <c r="O97" s="424"/>
      <c r="P97" s="421"/>
    </row>
    <row r="98" spans="1:16" ht="16.5" thickBot="1">
      <c r="A98" s="421"/>
      <c r="B98" s="523" t="s">
        <v>511</v>
      </c>
      <c r="C98" s="524"/>
      <c r="D98" s="425"/>
      <c r="E98" s="425"/>
      <c r="F98" s="425"/>
      <c r="G98" s="425"/>
      <c r="H98" s="425"/>
      <c r="I98" s="425"/>
      <c r="J98" s="425"/>
      <c r="K98" s="425"/>
      <c r="L98" s="421"/>
      <c r="M98" s="421"/>
      <c r="N98" s="423"/>
      <c r="O98" s="424"/>
      <c r="P98" s="421"/>
    </row>
    <row r="99" spans="1:16" ht="16.5" thickBot="1">
      <c r="A99" s="421"/>
      <c r="B99" s="525"/>
      <c r="C99" s="526"/>
      <c r="D99" s="425"/>
      <c r="E99" s="425"/>
      <c r="F99" s="425"/>
      <c r="G99" s="425"/>
      <c r="H99" s="425"/>
      <c r="I99" s="425"/>
      <c r="J99" s="425"/>
      <c r="K99" s="425"/>
      <c r="L99" s="421"/>
      <c r="M99" s="421"/>
      <c r="N99" s="423"/>
      <c r="O99" s="424"/>
      <c r="P99" s="421"/>
    </row>
    <row r="100" spans="1:16"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1:16"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 spans="1:16"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 spans="1:16"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 spans="1:16"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1:16"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 spans="1:16"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 spans="1:16"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 spans="1:16"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 spans="1:16"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1:16"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 spans="1:16"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 spans="1:16"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 spans="2:11"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2:11"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 spans="2:11"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 spans="2:11"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 spans="2:11"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 spans="2:11"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 spans="2:11"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 spans="2:11"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2:11"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 spans="2:11"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 spans="2:11"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2:11"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2:11"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2:11"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2:11"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2:11"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2:11"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2:11"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2:11"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2:11"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 spans="2:11"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 spans="2:11"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 spans="2:11"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2:11"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2:11"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2:11"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2:11"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2:11"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2:11"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2:11"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2:11"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2:11"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2:11"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2:11"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2:11"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2:11"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2:11"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2:11"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2:11"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2:11"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 spans="2:11"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2:11"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2:11"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2:11"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2:11"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2:11"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2:11"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2:11"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2:11"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2:11"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2:11"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2:11"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2:11"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 spans="2:11"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2:11"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2:11"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2:11"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2:11"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2:11"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 spans="2:11"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 spans="2:11"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 spans="2:11"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2:11"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2:11"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2:11"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2:11"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2:11"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2:11"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2:11"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2:11"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2:11"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2:11"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 spans="2:11"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 spans="2:11"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2:11"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2:11"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2:11"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2:11"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 spans="2:11"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 spans="2:11"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 spans="2:11"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 spans="2:11"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2:11"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2:11"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2:11"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 spans="2:11"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 spans="2:11"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 spans="2:11"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 spans="2:11"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 spans="2:11"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 spans="2:11"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 spans="2:11"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 spans="2:11"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 spans="2:11"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 spans="2:11"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 spans="2:11"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 spans="2:11"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 spans="2:11"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 spans="2:11"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 spans="2:11"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 spans="2:11"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 spans="2:11"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 spans="2:11"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 spans="2:11"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 spans="2:11"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 spans="2:11"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 spans="2:11"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 spans="2:11"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 spans="2:11"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 spans="2:11"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 spans="2:11"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 spans="2:11"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 spans="2:11"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 spans="2:11"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 spans="2:11"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 spans="2:11"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 spans="2:11"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 spans="2:11"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 spans="2:11"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 spans="2:11"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 spans="2:11"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 spans="2:11"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 spans="2:11"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 spans="2:11"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 spans="2:11"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 spans="2:11"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 spans="2:11"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 spans="2:11"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 spans="2:11"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 spans="2:11"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 spans="2:11"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 spans="2:11"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 spans="2:11"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 spans="2:11"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 spans="2:11"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 spans="2:11"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 spans="2:11"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 spans="2:11"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 spans="2:11"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 spans="2:11"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 spans="2:11"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 spans="2:11"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 spans="2:11"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 spans="2:11"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 spans="2:11"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 spans="2:11"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 spans="2:11"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 spans="2:11"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 spans="2:11"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 spans="2:11"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 spans="2:11"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 spans="2:11"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 spans="2:11"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 spans="2:11"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 spans="2:11"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 spans="2:11"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 spans="2:11">
      <c r="B269" s="4"/>
      <c r="C269" s="4"/>
      <c r="D269" s="4"/>
      <c r="E269" s="4"/>
      <c r="F269" s="4"/>
      <c r="G269" s="4"/>
      <c r="H269" s="4"/>
      <c r="I269" s="4"/>
      <c r="J269" s="4"/>
      <c r="K269" s="4"/>
    </row>
  </sheetData>
  <mergeCells count="44">
    <mergeCell ref="J93:J94"/>
    <mergeCell ref="K93:K94"/>
    <mergeCell ref="B98:C98"/>
    <mergeCell ref="B99:C99"/>
    <mergeCell ref="O24:O25"/>
    <mergeCell ref="B92:K92"/>
    <mergeCell ref="L92:L94"/>
    <mergeCell ref="B93:C94"/>
    <mergeCell ref="D93:D94"/>
    <mergeCell ref="E93:E94"/>
    <mergeCell ref="F93:F94"/>
    <mergeCell ref="G93:G94"/>
    <mergeCell ref="H93:H94"/>
    <mergeCell ref="I93:I94"/>
    <mergeCell ref="I24:I25"/>
    <mergeCell ref="J24:J25"/>
    <mergeCell ref="K24:K25"/>
    <mergeCell ref="L24:L25"/>
    <mergeCell ref="M24:M25"/>
    <mergeCell ref="N24:N25"/>
    <mergeCell ref="B19:D19"/>
    <mergeCell ref="E19:F19"/>
    <mergeCell ref="G19:H19"/>
    <mergeCell ref="B24:B25"/>
    <mergeCell ref="C24:C25"/>
    <mergeCell ref="D24:D25"/>
    <mergeCell ref="E24:E25"/>
    <mergeCell ref="F24:F25"/>
    <mergeCell ref="G24:G25"/>
    <mergeCell ref="H24:H25"/>
    <mergeCell ref="B11:F11"/>
    <mergeCell ref="H11:I11"/>
    <mergeCell ref="B12:G12"/>
    <mergeCell ref="B13:F13"/>
    <mergeCell ref="B17:D18"/>
    <mergeCell ref="E17:F18"/>
    <mergeCell ref="G17:H18"/>
    <mergeCell ref="I17:J17"/>
    <mergeCell ref="B8:D8"/>
    <mergeCell ref="E8:I8"/>
    <mergeCell ref="B9:D9"/>
    <mergeCell ref="E9:I9"/>
    <mergeCell ref="B10:G10"/>
    <mergeCell ref="H10:I10"/>
  </mergeCells>
  <pageMargins left="0.7" right="0.7" top="0.75" bottom="0.75" header="0.3" footer="0.3"/>
  <pageSetup orientation="portrait" horizontalDpi="4294967294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topLeftCell="A31" zoomScale="91" zoomScaleNormal="91" workbookViewId="0">
      <selection activeCell="E37" sqref="E37"/>
    </sheetView>
  </sheetViews>
  <sheetFormatPr baseColWidth="10" defaultRowHeight="15"/>
  <cols>
    <col min="1" max="1" width="7" style="63" bestFit="1" customWidth="1"/>
    <col min="2" max="2" width="37.85546875" customWidth="1"/>
    <col min="3" max="3" width="16.140625" customWidth="1"/>
    <col min="4" max="4" width="15.5703125" bestFit="1" customWidth="1"/>
    <col min="5" max="5" width="14.85546875" bestFit="1" customWidth="1"/>
    <col min="6" max="6" width="15.5703125" bestFit="1" customWidth="1"/>
    <col min="7" max="7" width="14.85546875" bestFit="1" customWidth="1"/>
    <col min="8" max="8" width="14.42578125" customWidth="1"/>
    <col min="9" max="9" width="14.28515625" bestFit="1" customWidth="1"/>
    <col min="10" max="10" width="15.5703125" bestFit="1" customWidth="1"/>
    <col min="12" max="12" width="14" bestFit="1" customWidth="1"/>
  </cols>
  <sheetData>
    <row r="1" spans="1:13">
      <c r="A1" s="59"/>
      <c r="B1" s="50"/>
      <c r="C1" s="51" t="s">
        <v>374</v>
      </c>
      <c r="D1" s="51"/>
      <c r="E1" s="51"/>
      <c r="F1" s="50"/>
      <c r="G1" s="50"/>
      <c r="H1" s="50"/>
      <c r="I1" s="50"/>
      <c r="J1" s="50"/>
    </row>
    <row r="2" spans="1:13">
      <c r="A2" s="59"/>
      <c r="B2" s="52" t="s">
        <v>376</v>
      </c>
      <c r="C2" s="50"/>
      <c r="D2" s="50"/>
      <c r="E2" s="50"/>
      <c r="F2" s="50"/>
      <c r="G2" s="50"/>
      <c r="H2" s="50"/>
      <c r="I2" s="50"/>
      <c r="J2" s="50"/>
    </row>
    <row r="3" spans="1:13">
      <c r="A3" s="59"/>
      <c r="B3" s="50"/>
      <c r="C3" s="50"/>
      <c r="D3" s="50"/>
      <c r="E3" s="50"/>
      <c r="F3" s="50"/>
      <c r="G3" s="50"/>
      <c r="H3" s="50"/>
      <c r="I3" s="50"/>
      <c r="J3" s="50"/>
    </row>
    <row r="4" spans="1:13">
      <c r="A4" s="58" t="s">
        <v>35</v>
      </c>
      <c r="B4" s="58" t="s">
        <v>36</v>
      </c>
      <c r="C4" s="58" t="s">
        <v>37</v>
      </c>
      <c r="D4" s="58" t="s">
        <v>38</v>
      </c>
      <c r="E4" s="58" t="s">
        <v>39</v>
      </c>
      <c r="F4" s="58" t="s">
        <v>40</v>
      </c>
      <c r="G4" s="58" t="s">
        <v>41</v>
      </c>
      <c r="H4" s="58" t="s">
        <v>42</v>
      </c>
      <c r="I4" s="58" t="s">
        <v>43</v>
      </c>
      <c r="J4" s="58" t="s">
        <v>44</v>
      </c>
    </row>
    <row r="5" spans="1:13">
      <c r="A5" s="60" t="s">
        <v>75</v>
      </c>
      <c r="B5" s="53" t="s">
        <v>80</v>
      </c>
      <c r="C5" s="47">
        <f>+'balance 2022 antes de impuesto'!C5</f>
        <v>120400000</v>
      </c>
      <c r="D5" s="47">
        <f>+'balance 2022 antes de impuesto'!D5</f>
        <v>62527200</v>
      </c>
      <c r="E5" s="47">
        <f>+IF(C5-D5&gt;0,C5-D5,0)</f>
        <v>57872800</v>
      </c>
      <c r="F5" s="47">
        <f>IF((D5-C5)&gt;0,D5-C5,0)</f>
        <v>0</v>
      </c>
      <c r="G5" s="47">
        <f t="shared" ref="G5:H20" si="0">IF(E5&gt;0,E5,0)</f>
        <v>57872800</v>
      </c>
      <c r="H5" s="47">
        <f t="shared" si="0"/>
        <v>0</v>
      </c>
      <c r="I5" s="47">
        <v>0</v>
      </c>
      <c r="J5" s="47">
        <v>0</v>
      </c>
    </row>
    <row r="6" spans="1:13">
      <c r="A6" s="60" t="s">
        <v>45</v>
      </c>
      <c r="B6" s="53" t="s">
        <v>46</v>
      </c>
      <c r="C6" s="47">
        <f>+'balance 2022 antes de impuesto'!C6</f>
        <v>1190000000</v>
      </c>
      <c r="D6" s="47">
        <f>+'balance 2022 antes de impuesto'!D6</f>
        <v>1170233000</v>
      </c>
      <c r="E6" s="47">
        <f>+IF(C6-D6&gt;0,C6-D6,0)</f>
        <v>19767000</v>
      </c>
      <c r="F6" s="47">
        <f>IF((D6-C6)&gt;0,D6-C6,0)</f>
        <v>0</v>
      </c>
      <c r="G6" s="47">
        <f t="shared" si="0"/>
        <v>19767000</v>
      </c>
      <c r="H6" s="47">
        <f t="shared" si="0"/>
        <v>0</v>
      </c>
      <c r="I6" s="47">
        <v>0</v>
      </c>
      <c r="J6" s="47">
        <v>0</v>
      </c>
    </row>
    <row r="7" spans="1:13">
      <c r="A7" s="60">
        <v>11011</v>
      </c>
      <c r="B7" s="53" t="s">
        <v>48</v>
      </c>
      <c r="C7" s="47">
        <f>+'balance 2022 antes de impuesto'!C7</f>
        <v>45000000</v>
      </c>
      <c r="D7" s="47">
        <f>+'balance 2022 antes de impuesto'!D7</f>
        <v>0</v>
      </c>
      <c r="E7" s="47">
        <f t="shared" ref="E7:E42" si="1">+IF(C7-D7&gt;0,C7-D7,0)</f>
        <v>45000000</v>
      </c>
      <c r="F7" s="47">
        <f t="shared" ref="F7:F42" si="2">IF((D7-C7)&gt;0,D7-C7,0)</f>
        <v>0</v>
      </c>
      <c r="G7" s="47">
        <f t="shared" si="0"/>
        <v>45000000</v>
      </c>
      <c r="H7" s="47">
        <f t="shared" si="0"/>
        <v>0</v>
      </c>
      <c r="I7" s="47">
        <v>0</v>
      </c>
      <c r="J7" s="47">
        <v>0</v>
      </c>
    </row>
    <row r="8" spans="1:13">
      <c r="A8" s="60">
        <v>11020</v>
      </c>
      <c r="B8" s="53" t="s">
        <v>101</v>
      </c>
      <c r="C8" s="47">
        <f>+'balance 2022 antes de impuesto'!C8</f>
        <v>125000000</v>
      </c>
      <c r="D8" s="47">
        <f>+'balance 2022 antes de impuesto'!D8</f>
        <v>90000000</v>
      </c>
      <c r="E8" s="47">
        <f t="shared" si="1"/>
        <v>35000000</v>
      </c>
      <c r="F8" s="47">
        <f t="shared" si="2"/>
        <v>0</v>
      </c>
      <c r="G8" s="47">
        <f t="shared" si="0"/>
        <v>35000000</v>
      </c>
      <c r="H8" s="47">
        <f t="shared" si="0"/>
        <v>0</v>
      </c>
      <c r="I8" s="47">
        <v>0</v>
      </c>
      <c r="J8" s="47">
        <v>0</v>
      </c>
    </row>
    <row r="9" spans="1:13">
      <c r="A9" s="60">
        <f>+A8+1</f>
        <v>11021</v>
      </c>
      <c r="B9" s="53" t="s">
        <v>58</v>
      </c>
      <c r="C9" s="47">
        <f>+'balance 2022 antes de impuesto'!C9</f>
        <v>0</v>
      </c>
      <c r="D9" s="47">
        <f>+'balance 2022 antes de impuesto'!D9</f>
        <v>9000000</v>
      </c>
      <c r="E9" s="47">
        <f t="shared" si="1"/>
        <v>0</v>
      </c>
      <c r="F9" s="47">
        <f t="shared" si="2"/>
        <v>9000000</v>
      </c>
      <c r="G9" s="47">
        <f t="shared" si="0"/>
        <v>0</v>
      </c>
      <c r="H9" s="47">
        <f t="shared" si="0"/>
        <v>9000000</v>
      </c>
      <c r="I9" s="47">
        <v>0</v>
      </c>
      <c r="J9" s="47">
        <v>0</v>
      </c>
    </row>
    <row r="10" spans="1:13">
      <c r="A10" s="60">
        <v>11051</v>
      </c>
      <c r="B10" s="53" t="s">
        <v>49</v>
      </c>
      <c r="C10" s="47">
        <f>+'balance 2022 antes de impuesto'!C10</f>
        <v>650000000</v>
      </c>
      <c r="D10" s="47">
        <f>+'balance 2022 antes de impuesto'!D10</f>
        <v>300000000</v>
      </c>
      <c r="E10" s="47">
        <f t="shared" si="1"/>
        <v>350000000</v>
      </c>
      <c r="F10" s="47">
        <f t="shared" si="2"/>
        <v>0</v>
      </c>
      <c r="G10" s="47">
        <f t="shared" si="0"/>
        <v>350000000</v>
      </c>
      <c r="H10" s="47">
        <f t="shared" si="0"/>
        <v>0</v>
      </c>
      <c r="I10" s="47">
        <v>0</v>
      </c>
      <c r="J10" s="47">
        <v>0</v>
      </c>
      <c r="M10" s="5"/>
    </row>
    <row r="11" spans="1:13">
      <c r="A11" s="60">
        <v>11071</v>
      </c>
      <c r="B11" s="53" t="s">
        <v>15</v>
      </c>
      <c r="C11" s="47">
        <f>+'balance 2022 antes de impuesto'!C11</f>
        <v>0</v>
      </c>
      <c r="D11" s="47">
        <f>+'balance 2022 antes de impuesto'!D11</f>
        <v>0</v>
      </c>
      <c r="E11" s="47">
        <f t="shared" si="1"/>
        <v>0</v>
      </c>
      <c r="F11" s="47">
        <f t="shared" si="2"/>
        <v>0</v>
      </c>
      <c r="G11" s="47">
        <f t="shared" si="0"/>
        <v>0</v>
      </c>
      <c r="H11" s="47">
        <f t="shared" si="0"/>
        <v>0</v>
      </c>
      <c r="I11" s="47">
        <v>0</v>
      </c>
      <c r="J11" s="47">
        <v>0</v>
      </c>
      <c r="M11" s="5"/>
    </row>
    <row r="12" spans="1:13">
      <c r="A12" s="60">
        <v>12001</v>
      </c>
      <c r="B12" s="53" t="s">
        <v>102</v>
      </c>
      <c r="C12" s="47">
        <f>+'balance 2022 antes de impuesto'!C12</f>
        <v>14011000</v>
      </c>
      <c r="D12" s="47">
        <f>+'balance 2022 antes de impuesto'!D12</f>
        <v>0</v>
      </c>
      <c r="E12" s="47">
        <f t="shared" si="1"/>
        <v>14011000</v>
      </c>
      <c r="F12" s="47">
        <f t="shared" si="2"/>
        <v>0</v>
      </c>
      <c r="G12" s="47">
        <f t="shared" si="0"/>
        <v>14011000</v>
      </c>
      <c r="H12" s="47">
        <f t="shared" si="0"/>
        <v>0</v>
      </c>
      <c r="I12" s="47">
        <v>0</v>
      </c>
      <c r="J12" s="47">
        <v>0</v>
      </c>
      <c r="M12" s="5"/>
    </row>
    <row r="13" spans="1:13">
      <c r="A13" s="60">
        <v>12002</v>
      </c>
      <c r="B13" s="53" t="s">
        <v>50</v>
      </c>
      <c r="C13" s="47">
        <f>+'balance 2022 antes de impuesto'!C13</f>
        <v>123500000</v>
      </c>
      <c r="D13" s="47">
        <f>+'balance 2022 antes de impuesto'!D13</f>
        <v>111815000</v>
      </c>
      <c r="E13" s="47">
        <f t="shared" si="1"/>
        <v>11685000</v>
      </c>
      <c r="F13" s="47">
        <f t="shared" si="2"/>
        <v>0</v>
      </c>
      <c r="G13" s="47">
        <f t="shared" si="0"/>
        <v>11685000</v>
      </c>
      <c r="H13" s="47">
        <f t="shared" si="0"/>
        <v>0</v>
      </c>
      <c r="I13" s="47">
        <v>0</v>
      </c>
      <c r="J13" s="47">
        <v>0</v>
      </c>
      <c r="M13" s="5"/>
    </row>
    <row r="14" spans="1:13">
      <c r="A14" s="60">
        <v>12003</v>
      </c>
      <c r="B14" s="53" t="s">
        <v>104</v>
      </c>
      <c r="C14" s="47">
        <f>+'balance 2022 antes de impuesto'!C14</f>
        <v>0</v>
      </c>
      <c r="D14" s="47">
        <f>+'balance 2022 antes de impuesto'!D14</f>
        <v>0</v>
      </c>
      <c r="E14" s="47">
        <f t="shared" si="1"/>
        <v>0</v>
      </c>
      <c r="F14" s="47">
        <f t="shared" si="2"/>
        <v>0</v>
      </c>
      <c r="G14" s="47">
        <f t="shared" si="0"/>
        <v>0</v>
      </c>
      <c r="H14" s="47">
        <f t="shared" si="0"/>
        <v>0</v>
      </c>
      <c r="I14" s="47">
        <v>0</v>
      </c>
      <c r="J14" s="47">
        <v>0</v>
      </c>
      <c r="M14" s="5"/>
    </row>
    <row r="15" spans="1:13">
      <c r="A15" s="60">
        <v>13001</v>
      </c>
      <c r="B15" s="53" t="s">
        <v>47</v>
      </c>
      <c r="C15" s="47">
        <f>+'balance 2022 antes de impuesto'!C15</f>
        <v>21000000</v>
      </c>
      <c r="D15" s="47">
        <f>+'balance 2022 antes de impuesto'!D15</f>
        <v>0</v>
      </c>
      <c r="E15" s="47">
        <f t="shared" si="1"/>
        <v>21000000</v>
      </c>
      <c r="F15" s="47">
        <f t="shared" si="2"/>
        <v>0</v>
      </c>
      <c r="G15" s="47">
        <f t="shared" si="0"/>
        <v>21000000</v>
      </c>
      <c r="H15" s="47">
        <f t="shared" si="0"/>
        <v>0</v>
      </c>
      <c r="I15" s="47">
        <v>0</v>
      </c>
      <c r="J15" s="47">
        <v>0</v>
      </c>
      <c r="M15" s="5"/>
    </row>
    <row r="16" spans="1:13">
      <c r="A16" s="60" t="s">
        <v>51</v>
      </c>
      <c r="B16" s="53" t="s">
        <v>52</v>
      </c>
      <c r="C16" s="47">
        <f>+'balance 2022 antes de impuesto'!C16</f>
        <v>180000000</v>
      </c>
      <c r="D16" s="47">
        <f>+'balance 2022 antes de impuesto'!D16</f>
        <v>0</v>
      </c>
      <c r="E16" s="47">
        <f t="shared" si="1"/>
        <v>180000000</v>
      </c>
      <c r="F16" s="47">
        <f t="shared" si="2"/>
        <v>0</v>
      </c>
      <c r="G16" s="47">
        <f t="shared" si="0"/>
        <v>180000000</v>
      </c>
      <c r="H16" s="47">
        <f t="shared" si="0"/>
        <v>0</v>
      </c>
      <c r="I16" s="47">
        <v>0</v>
      </c>
      <c r="J16" s="47">
        <v>0</v>
      </c>
      <c r="M16" s="5"/>
    </row>
    <row r="17" spans="1:10">
      <c r="A17" s="60" t="s">
        <v>53</v>
      </c>
      <c r="B17" s="53" t="s">
        <v>375</v>
      </c>
      <c r="C17" s="47">
        <f>+'balance 2022 antes de impuesto'!C17</f>
        <v>420000000</v>
      </c>
      <c r="D17" s="47">
        <f>+'balance 2022 antes de impuesto'!D17</f>
        <v>0</v>
      </c>
      <c r="E17" s="47">
        <f t="shared" si="1"/>
        <v>420000000</v>
      </c>
      <c r="F17" s="47">
        <f t="shared" si="2"/>
        <v>0</v>
      </c>
      <c r="G17" s="47">
        <f t="shared" si="0"/>
        <v>420000000</v>
      </c>
      <c r="H17" s="47">
        <f t="shared" si="0"/>
        <v>0</v>
      </c>
      <c r="I17" s="47">
        <v>0</v>
      </c>
      <c r="J17" s="47">
        <v>0</v>
      </c>
    </row>
    <row r="18" spans="1:10">
      <c r="A18" s="60">
        <v>15020</v>
      </c>
      <c r="B18" s="53" t="s">
        <v>381</v>
      </c>
      <c r="C18" s="47">
        <f>+'balance 2022 antes de impuesto'!C18</f>
        <v>5000000</v>
      </c>
      <c r="D18" s="47">
        <f>+'balance 2022 antes de impuesto'!D18</f>
        <v>0</v>
      </c>
      <c r="E18" s="47">
        <f t="shared" si="1"/>
        <v>5000000</v>
      </c>
      <c r="F18" s="47">
        <f t="shared" si="2"/>
        <v>0</v>
      </c>
      <c r="G18" s="47">
        <f t="shared" si="0"/>
        <v>5000000</v>
      </c>
      <c r="H18" s="47">
        <f t="shared" si="0"/>
        <v>0</v>
      </c>
      <c r="I18" s="47">
        <v>0</v>
      </c>
      <c r="J18" s="47">
        <v>0</v>
      </c>
    </row>
    <row r="19" spans="1:10">
      <c r="A19" s="60">
        <v>15031</v>
      </c>
      <c r="B19" s="53" t="s">
        <v>81</v>
      </c>
      <c r="C19" s="47">
        <f>+'balance 2022 antes de impuesto'!C19</f>
        <v>12000000</v>
      </c>
      <c r="D19" s="47">
        <f>+'balance 2022 antes de impuesto'!D19</f>
        <v>0</v>
      </c>
      <c r="E19" s="47">
        <f t="shared" si="1"/>
        <v>12000000</v>
      </c>
      <c r="F19" s="47">
        <f t="shared" si="2"/>
        <v>0</v>
      </c>
      <c r="G19" s="47">
        <f t="shared" si="0"/>
        <v>12000000</v>
      </c>
      <c r="H19" s="47">
        <f t="shared" si="0"/>
        <v>0</v>
      </c>
      <c r="I19" s="47">
        <v>0</v>
      </c>
      <c r="J19" s="47">
        <v>0</v>
      </c>
    </row>
    <row r="20" spans="1:10">
      <c r="A20" s="60">
        <v>15101</v>
      </c>
      <c r="B20" s="53" t="s">
        <v>97</v>
      </c>
      <c r="C20" s="47">
        <f>+'balance 2022 antes de impuesto'!C20</f>
        <v>0</v>
      </c>
      <c r="D20" s="47">
        <f>+'balance 2022 antes de impuesto'!D20</f>
        <v>0</v>
      </c>
      <c r="E20" s="47">
        <f t="shared" si="1"/>
        <v>0</v>
      </c>
      <c r="F20" s="47">
        <f t="shared" si="2"/>
        <v>0</v>
      </c>
      <c r="G20" s="47">
        <f t="shared" si="0"/>
        <v>0</v>
      </c>
      <c r="H20" s="47">
        <f t="shared" si="0"/>
        <v>0</v>
      </c>
      <c r="I20" s="47">
        <v>0</v>
      </c>
      <c r="J20" s="47">
        <v>0</v>
      </c>
    </row>
    <row r="21" spans="1:10">
      <c r="A21" s="60">
        <v>15102</v>
      </c>
      <c r="B21" s="53" t="s">
        <v>98</v>
      </c>
      <c r="C21" s="47">
        <f>+'balance 2022 antes de impuesto'!C21</f>
        <v>0</v>
      </c>
      <c r="D21" s="47">
        <f>+'balance 2022 antes de impuesto'!D21</f>
        <v>0</v>
      </c>
      <c r="E21" s="47">
        <f t="shared" si="1"/>
        <v>0</v>
      </c>
      <c r="F21" s="47">
        <f t="shared" si="2"/>
        <v>0</v>
      </c>
      <c r="G21" s="47">
        <f t="shared" ref="G21:H37" si="3">IF(E21&gt;0,E21,0)</f>
        <v>0</v>
      </c>
      <c r="H21" s="47">
        <f t="shared" si="3"/>
        <v>0</v>
      </c>
      <c r="I21" s="47">
        <v>0</v>
      </c>
      <c r="J21" s="47">
        <v>0</v>
      </c>
    </row>
    <row r="22" spans="1:10">
      <c r="A22" s="62">
        <v>15410</v>
      </c>
      <c r="B22" s="53" t="s">
        <v>54</v>
      </c>
      <c r="C22" s="47">
        <f>+'balance 2022 antes de impuesto'!C22</f>
        <v>0</v>
      </c>
      <c r="D22" s="47">
        <f>+'balance 2022 antes de impuesto'!D22</f>
        <v>6880952.3809523806</v>
      </c>
      <c r="E22" s="47">
        <f t="shared" si="1"/>
        <v>0</v>
      </c>
      <c r="F22" s="47">
        <f t="shared" si="2"/>
        <v>6880952.3809523806</v>
      </c>
      <c r="G22" s="47">
        <f t="shared" si="3"/>
        <v>0</v>
      </c>
      <c r="H22" s="47">
        <f t="shared" si="3"/>
        <v>6880952.3809523806</v>
      </c>
      <c r="I22" s="47">
        <v>0</v>
      </c>
      <c r="J22" s="47">
        <v>0</v>
      </c>
    </row>
    <row r="23" spans="1:10">
      <c r="A23" s="62">
        <v>15420</v>
      </c>
      <c r="B23" s="53" t="s">
        <v>84</v>
      </c>
      <c r="C23" s="47">
        <f>+'balance 2022 antes de impuesto'!C23</f>
        <v>0</v>
      </c>
      <c r="D23" s="47">
        <f>+'balance 2022 antes de impuesto'!D23</f>
        <v>0</v>
      </c>
      <c r="E23" s="47">
        <f t="shared" si="1"/>
        <v>0</v>
      </c>
      <c r="F23" s="47">
        <f t="shared" si="2"/>
        <v>0</v>
      </c>
      <c r="G23" s="47">
        <f t="shared" si="3"/>
        <v>0</v>
      </c>
      <c r="H23" s="47">
        <f t="shared" si="3"/>
        <v>0</v>
      </c>
      <c r="I23" s="47">
        <v>0</v>
      </c>
      <c r="J23" s="47">
        <v>0</v>
      </c>
    </row>
    <row r="24" spans="1:10">
      <c r="A24" s="62">
        <v>20001</v>
      </c>
      <c r="B24" s="53" t="s">
        <v>91</v>
      </c>
      <c r="C24" s="47">
        <f>+'balance 2022 antes de impuesto'!C24</f>
        <v>0</v>
      </c>
      <c r="D24" s="47">
        <f>+'balance 2022 antes de impuesto'!D24</f>
        <v>100000000</v>
      </c>
      <c r="E24" s="47">
        <f t="shared" si="1"/>
        <v>0</v>
      </c>
      <c r="F24" s="47">
        <f t="shared" si="2"/>
        <v>100000000</v>
      </c>
      <c r="G24" s="47">
        <f t="shared" si="3"/>
        <v>0</v>
      </c>
      <c r="H24" s="47">
        <f t="shared" si="3"/>
        <v>100000000</v>
      </c>
      <c r="I24" s="47"/>
      <c r="J24" s="47"/>
    </row>
    <row r="25" spans="1:10">
      <c r="A25" s="62">
        <v>20021</v>
      </c>
      <c r="B25" s="53" t="s">
        <v>92</v>
      </c>
      <c r="C25" s="47">
        <f>+'balance 2022 antes de impuesto'!C25</f>
        <v>0</v>
      </c>
      <c r="D25" s="47">
        <f>+'balance 2022 antes de impuesto'!D25</f>
        <v>0</v>
      </c>
      <c r="E25" s="47">
        <f t="shared" si="1"/>
        <v>0</v>
      </c>
      <c r="F25" s="47">
        <f t="shared" si="2"/>
        <v>0</v>
      </c>
      <c r="G25" s="47">
        <f t="shared" si="3"/>
        <v>0</v>
      </c>
      <c r="H25" s="47">
        <f t="shared" si="3"/>
        <v>0</v>
      </c>
      <c r="I25" s="47"/>
      <c r="J25" s="47"/>
    </row>
    <row r="26" spans="1:10">
      <c r="A26" s="62">
        <v>20151</v>
      </c>
      <c r="B26" s="53" t="s">
        <v>55</v>
      </c>
      <c r="C26" s="47">
        <f>+'balance 2022 antes de impuesto'!C26</f>
        <v>173812000</v>
      </c>
      <c r="D26" s="47">
        <f>+'balance 2022 antes de impuesto'!D26</f>
        <v>190000000</v>
      </c>
      <c r="E26" s="47">
        <f t="shared" si="1"/>
        <v>0</v>
      </c>
      <c r="F26" s="47">
        <f t="shared" si="2"/>
        <v>16188000</v>
      </c>
      <c r="G26" s="47">
        <f t="shared" si="3"/>
        <v>0</v>
      </c>
      <c r="H26" s="47">
        <f t="shared" si="3"/>
        <v>16188000</v>
      </c>
      <c r="I26" s="47"/>
      <c r="J26" s="47"/>
    </row>
    <row r="27" spans="1:10">
      <c r="A27" s="60" t="s">
        <v>56</v>
      </c>
      <c r="B27" s="53" t="s">
        <v>6</v>
      </c>
      <c r="C27" s="47">
        <f>+'balance 2022 antes de impuesto'!C27</f>
        <v>915000</v>
      </c>
      <c r="D27" s="47">
        <f>+'balance 2022 antes de impuesto'!D27</f>
        <v>187000000</v>
      </c>
      <c r="E27" s="47">
        <f t="shared" si="1"/>
        <v>0</v>
      </c>
      <c r="F27" s="47">
        <f t="shared" si="2"/>
        <v>186085000</v>
      </c>
      <c r="G27" s="47">
        <f t="shared" si="3"/>
        <v>0</v>
      </c>
      <c r="H27" s="47">
        <f t="shared" si="3"/>
        <v>186085000</v>
      </c>
      <c r="I27" s="47">
        <v>0</v>
      </c>
      <c r="J27" s="47">
        <v>0</v>
      </c>
    </row>
    <row r="28" spans="1:10">
      <c r="A28" s="60">
        <v>21002</v>
      </c>
      <c r="B28" s="53" t="s">
        <v>57</v>
      </c>
      <c r="C28" s="47">
        <f>+'balance 2022 antes de impuesto'!C28</f>
        <v>0</v>
      </c>
      <c r="D28" s="47">
        <f>+'balance 2022 antes de impuesto'!D28</f>
        <v>18000000</v>
      </c>
      <c r="E28" s="47">
        <f t="shared" si="1"/>
        <v>0</v>
      </c>
      <c r="F28" s="47">
        <f t="shared" si="2"/>
        <v>18000000</v>
      </c>
      <c r="G28" s="47">
        <f t="shared" si="3"/>
        <v>0</v>
      </c>
      <c r="H28" s="47">
        <f t="shared" si="3"/>
        <v>18000000</v>
      </c>
      <c r="I28" s="47">
        <v>0</v>
      </c>
      <c r="J28" s="47">
        <v>0</v>
      </c>
    </row>
    <row r="29" spans="1:10">
      <c r="A29" s="60">
        <v>22001</v>
      </c>
      <c r="B29" s="53" t="s">
        <v>105</v>
      </c>
      <c r="C29" s="47">
        <f>+'balance 2022 antes de impuesto'!C29</f>
        <v>41148000</v>
      </c>
      <c r="D29" s="47">
        <f>+'balance 2022 antes de impuesto'!D29</f>
        <v>41148000</v>
      </c>
      <c r="E29" s="47">
        <f t="shared" si="1"/>
        <v>0</v>
      </c>
      <c r="F29" s="47">
        <f t="shared" si="2"/>
        <v>0</v>
      </c>
      <c r="G29" s="47">
        <f t="shared" si="3"/>
        <v>0</v>
      </c>
      <c r="H29" s="47">
        <f t="shared" si="3"/>
        <v>0</v>
      </c>
      <c r="I29" s="47">
        <v>0</v>
      </c>
      <c r="J29" s="47">
        <v>0</v>
      </c>
    </row>
    <row r="30" spans="1:10">
      <c r="A30" s="60">
        <v>22002</v>
      </c>
      <c r="B30" s="53" t="s">
        <v>100</v>
      </c>
      <c r="C30" s="47">
        <f>+'balance 2022 antes de impuesto'!C30</f>
        <v>12099200</v>
      </c>
      <c r="D30" s="47">
        <f>+'balance 2022 antes de impuesto'!D30</f>
        <v>13422000</v>
      </c>
      <c r="E30" s="47">
        <f t="shared" si="1"/>
        <v>0</v>
      </c>
      <c r="F30" s="47">
        <f t="shared" si="2"/>
        <v>1322800</v>
      </c>
      <c r="G30" s="47">
        <f t="shared" si="3"/>
        <v>0</v>
      </c>
      <c r="H30" s="47">
        <f t="shared" si="3"/>
        <v>1322800</v>
      </c>
      <c r="I30" s="47">
        <v>0</v>
      </c>
      <c r="J30" s="47">
        <v>0</v>
      </c>
    </row>
    <row r="31" spans="1:10">
      <c r="A31" s="60">
        <v>22051</v>
      </c>
      <c r="B31" s="53" t="s">
        <v>60</v>
      </c>
      <c r="C31" s="47">
        <f>+'balance 2022 antes de impuesto'!C31</f>
        <v>390000</v>
      </c>
      <c r="D31" s="47">
        <f>+'balance 2022 antes de impuesto'!D31</f>
        <v>500000</v>
      </c>
      <c r="E31" s="47">
        <f t="shared" si="1"/>
        <v>0</v>
      </c>
      <c r="F31" s="47">
        <f t="shared" si="2"/>
        <v>110000</v>
      </c>
      <c r="G31" s="47">
        <f t="shared" si="3"/>
        <v>0</v>
      </c>
      <c r="H31" s="47">
        <f t="shared" si="3"/>
        <v>110000</v>
      </c>
      <c r="I31" s="47">
        <v>0</v>
      </c>
      <c r="J31" s="47">
        <v>0</v>
      </c>
    </row>
    <row r="32" spans="1:10">
      <c r="A32" s="61">
        <v>23001</v>
      </c>
      <c r="B32" s="53" t="s">
        <v>88</v>
      </c>
      <c r="C32" s="47">
        <f>+'balance 2022 antes de impuesto'!C32</f>
        <v>0</v>
      </c>
      <c r="D32" s="47">
        <f>+'balance 2022 antes de impuesto'!D32</f>
        <v>0</v>
      </c>
      <c r="E32" s="47">
        <f t="shared" si="1"/>
        <v>0</v>
      </c>
      <c r="F32" s="47">
        <f t="shared" si="2"/>
        <v>0</v>
      </c>
      <c r="G32" s="47">
        <f t="shared" si="3"/>
        <v>0</v>
      </c>
      <c r="H32" s="47">
        <f t="shared" si="3"/>
        <v>0</v>
      </c>
      <c r="I32" s="47">
        <v>0</v>
      </c>
      <c r="J32" s="47">
        <v>0</v>
      </c>
    </row>
    <row r="33" spans="1:10">
      <c r="A33" s="62">
        <v>24001</v>
      </c>
      <c r="B33" s="53" t="s">
        <v>61</v>
      </c>
      <c r="C33" s="47">
        <f>+'balance 2022 antes de impuesto'!C33</f>
        <v>0</v>
      </c>
      <c r="D33" s="47">
        <f>+'ajustes 2022 renta'!F4+'ajustes 2022 renta'!F7</f>
        <v>99425494.153846174</v>
      </c>
      <c r="E33" s="47">
        <f t="shared" si="1"/>
        <v>0</v>
      </c>
      <c r="F33" s="47">
        <f t="shared" si="2"/>
        <v>99425494.153846174</v>
      </c>
      <c r="G33" s="47">
        <f t="shared" si="3"/>
        <v>0</v>
      </c>
      <c r="H33" s="47">
        <f t="shared" si="3"/>
        <v>99425494.153846174</v>
      </c>
      <c r="I33" s="47">
        <v>0</v>
      </c>
      <c r="J33" s="47">
        <v>0</v>
      </c>
    </row>
    <row r="34" spans="1:10">
      <c r="A34" s="61">
        <v>24002</v>
      </c>
      <c r="B34" s="53" t="s">
        <v>96</v>
      </c>
      <c r="C34" s="47">
        <f>+'balance 2022 antes de impuesto'!C34</f>
        <v>0</v>
      </c>
      <c r="D34" s="47">
        <f>+'balance 2022 antes de impuesto'!D34</f>
        <v>0</v>
      </c>
      <c r="E34" s="47">
        <f t="shared" si="1"/>
        <v>0</v>
      </c>
      <c r="F34" s="47">
        <f t="shared" si="2"/>
        <v>0</v>
      </c>
      <c r="G34" s="47">
        <f t="shared" si="3"/>
        <v>0</v>
      </c>
      <c r="H34" s="47">
        <f t="shared" si="3"/>
        <v>0</v>
      </c>
      <c r="I34" s="47">
        <v>0</v>
      </c>
      <c r="J34" s="47">
        <v>0</v>
      </c>
    </row>
    <row r="35" spans="1:10">
      <c r="A35" s="61">
        <v>24010</v>
      </c>
      <c r="B35" s="53" t="s">
        <v>103</v>
      </c>
      <c r="C35" s="47">
        <f>+'balance 2022 antes de impuesto'!C35</f>
        <v>0</v>
      </c>
      <c r="D35" s="47">
        <f>+'balance 2022 antes de impuesto'!D35</f>
        <v>2556000</v>
      </c>
      <c r="E35" s="47">
        <f t="shared" si="1"/>
        <v>0</v>
      </c>
      <c r="F35" s="47">
        <f t="shared" si="2"/>
        <v>2556000</v>
      </c>
      <c r="G35" s="47">
        <f t="shared" si="3"/>
        <v>0</v>
      </c>
      <c r="H35" s="47">
        <f t="shared" si="3"/>
        <v>2556000</v>
      </c>
      <c r="I35" s="47">
        <v>0</v>
      </c>
      <c r="J35" s="47">
        <v>0</v>
      </c>
    </row>
    <row r="36" spans="1:10">
      <c r="A36" s="60">
        <v>24015</v>
      </c>
      <c r="B36" s="53" t="s">
        <v>59</v>
      </c>
      <c r="C36" s="47">
        <f>+'balance 2022 antes de impuesto'!C36</f>
        <v>0</v>
      </c>
      <c r="D36" s="47">
        <f>+'balance 2022 antes de impuesto'!D36</f>
        <v>2016666.6666666665</v>
      </c>
      <c r="E36" s="47">
        <f t="shared" si="1"/>
        <v>0</v>
      </c>
      <c r="F36" s="47">
        <f t="shared" si="2"/>
        <v>2016666.6666666665</v>
      </c>
      <c r="G36" s="47">
        <f t="shared" si="3"/>
        <v>0</v>
      </c>
      <c r="H36" s="47">
        <f t="shared" si="3"/>
        <v>2016666.6666666665</v>
      </c>
      <c r="I36" s="47">
        <v>0</v>
      </c>
      <c r="J36" s="47">
        <v>0</v>
      </c>
    </row>
    <row r="37" spans="1:10">
      <c r="A37" s="61">
        <v>25001</v>
      </c>
      <c r="B37" s="53" t="s">
        <v>89</v>
      </c>
      <c r="C37" s="47">
        <f>+'balance 2022 antes de impuesto'!C37</f>
        <v>0</v>
      </c>
      <c r="D37" s="47">
        <f>+'ajustes 2022 renta'!F3</f>
        <v>1918100.2747252584</v>
      </c>
      <c r="E37" s="47">
        <f t="shared" si="1"/>
        <v>0</v>
      </c>
      <c r="F37" s="47">
        <f t="shared" si="2"/>
        <v>1918100.2747252584</v>
      </c>
      <c r="G37" s="47">
        <f t="shared" si="3"/>
        <v>0</v>
      </c>
      <c r="H37" s="47">
        <f t="shared" si="3"/>
        <v>1918100.2747252584</v>
      </c>
      <c r="I37" s="47">
        <v>0</v>
      </c>
      <c r="J37" s="47">
        <v>0</v>
      </c>
    </row>
    <row r="38" spans="1:10">
      <c r="A38" s="60">
        <v>33001</v>
      </c>
      <c r="B38" s="53" t="s">
        <v>72</v>
      </c>
      <c r="C38" s="47">
        <f>+'balance 2022 antes de impuesto'!C38</f>
        <v>0</v>
      </c>
      <c r="D38" s="47">
        <f>+'balance 2022 antes de impuesto'!D38</f>
        <v>300000000</v>
      </c>
      <c r="E38" s="47">
        <f t="shared" si="1"/>
        <v>0</v>
      </c>
      <c r="F38" s="47">
        <f t="shared" si="2"/>
        <v>300000000</v>
      </c>
      <c r="G38" s="47">
        <f t="shared" ref="G38:H42" si="4">IF(E38&gt;0,E38,0)</f>
        <v>0</v>
      </c>
      <c r="H38" s="47">
        <f t="shared" si="4"/>
        <v>300000000</v>
      </c>
      <c r="I38" s="47">
        <v>0</v>
      </c>
      <c r="J38" s="47">
        <v>0</v>
      </c>
    </row>
    <row r="39" spans="1:10">
      <c r="A39" s="60">
        <v>33002</v>
      </c>
      <c r="B39" s="53" t="s">
        <v>73</v>
      </c>
      <c r="C39" s="47">
        <f>+'balance 2022 antes de impuesto'!C39</f>
        <v>300000000</v>
      </c>
      <c r="D39" s="47">
        <f>+'balance 2022 antes de impuesto'!D39</f>
        <v>270000000</v>
      </c>
      <c r="E39" s="47">
        <f t="shared" si="1"/>
        <v>30000000</v>
      </c>
      <c r="F39" s="47">
        <f t="shared" si="2"/>
        <v>0</v>
      </c>
      <c r="G39" s="47">
        <f t="shared" si="4"/>
        <v>30000000</v>
      </c>
      <c r="H39" s="47">
        <f t="shared" si="4"/>
        <v>0</v>
      </c>
      <c r="I39" s="47">
        <v>0</v>
      </c>
      <c r="J39" s="47">
        <v>0</v>
      </c>
    </row>
    <row r="40" spans="1:10">
      <c r="A40" s="60">
        <v>33003</v>
      </c>
      <c r="B40" s="53" t="s">
        <v>74</v>
      </c>
      <c r="C40" s="47">
        <f>+'balance 2022 antes de impuesto'!C40</f>
        <v>270000000</v>
      </c>
      <c r="D40" s="47">
        <f>+'balance 2022 antes de impuesto'!D40</f>
        <v>120000000</v>
      </c>
      <c r="E40" s="47">
        <f t="shared" si="1"/>
        <v>150000000</v>
      </c>
      <c r="F40" s="47">
        <f t="shared" si="2"/>
        <v>0</v>
      </c>
      <c r="G40" s="47">
        <f t="shared" si="4"/>
        <v>150000000</v>
      </c>
      <c r="H40" s="47">
        <f t="shared" si="4"/>
        <v>0</v>
      </c>
      <c r="I40" s="47">
        <v>0</v>
      </c>
      <c r="J40" s="47">
        <v>0</v>
      </c>
    </row>
    <row r="41" spans="1:10">
      <c r="A41" s="60">
        <v>33011</v>
      </c>
      <c r="B41" s="53" t="s">
        <v>62</v>
      </c>
      <c r="C41" s="47">
        <f>+'balance 2022 antes de impuesto'!C41</f>
        <v>0</v>
      </c>
      <c r="D41" s="47">
        <f>+'balance 2022 antes de impuesto'!D41</f>
        <v>200000000</v>
      </c>
      <c r="E41" s="47">
        <f t="shared" si="1"/>
        <v>0</v>
      </c>
      <c r="F41" s="47">
        <f t="shared" si="2"/>
        <v>200000000</v>
      </c>
      <c r="G41" s="47">
        <f t="shared" si="4"/>
        <v>0</v>
      </c>
      <c r="H41" s="47">
        <f t="shared" si="4"/>
        <v>200000000</v>
      </c>
      <c r="I41" s="47">
        <v>0</v>
      </c>
      <c r="J41" s="47">
        <v>0</v>
      </c>
    </row>
    <row r="42" spans="1:10">
      <c r="A42" s="62">
        <v>34001</v>
      </c>
      <c r="B42" s="53" t="s">
        <v>76</v>
      </c>
      <c r="C42" s="47">
        <f>+'balance 2022 antes de impuesto'!C42</f>
        <v>100000000</v>
      </c>
      <c r="D42" s="47">
        <f>+'balance 2022 antes de impuesto'!D42</f>
        <v>0</v>
      </c>
      <c r="E42" s="47">
        <f t="shared" si="1"/>
        <v>100000000</v>
      </c>
      <c r="F42" s="47">
        <f t="shared" si="2"/>
        <v>0</v>
      </c>
      <c r="G42" s="47">
        <f t="shared" si="4"/>
        <v>100000000</v>
      </c>
      <c r="H42" s="47">
        <f t="shared" si="4"/>
        <v>0</v>
      </c>
      <c r="I42" s="47">
        <v>0</v>
      </c>
      <c r="J42" s="47">
        <v>0</v>
      </c>
    </row>
    <row r="43" spans="1:10">
      <c r="A43" s="62">
        <v>41001</v>
      </c>
      <c r="B43" s="53" t="s">
        <v>94</v>
      </c>
      <c r="C43" s="47">
        <f>+'balance 2022 antes de impuesto'!C43</f>
        <v>300000000</v>
      </c>
      <c r="D43" s="47">
        <f>+'balance 2022 antes de impuesto'!D43</f>
        <v>0</v>
      </c>
      <c r="E43" s="47">
        <f t="shared" ref="E43:E65" si="5">IF(C43&gt;D43,(C43-D43),0)</f>
        <v>300000000</v>
      </c>
      <c r="F43" s="47">
        <f t="shared" ref="F43:F65" si="6">IF(D43&gt;C43,D43-C43,0)</f>
        <v>0</v>
      </c>
      <c r="G43" s="47"/>
      <c r="H43" s="47"/>
      <c r="I43" s="47">
        <f t="shared" ref="I43:I65" si="7">IF(E43&gt;F43,E43,0)</f>
        <v>300000000</v>
      </c>
      <c r="J43" s="47">
        <f t="shared" ref="J43:J65" si="8">IF(F43&gt;E43,F43,0)</f>
        <v>0</v>
      </c>
    </row>
    <row r="44" spans="1:10">
      <c r="A44" s="62">
        <v>42001</v>
      </c>
      <c r="B44" s="53" t="s">
        <v>63</v>
      </c>
      <c r="C44" s="47">
        <f>+'balance 2022 antes de impuesto'!C44</f>
        <v>50800000</v>
      </c>
      <c r="D44" s="47">
        <f>+'balance 2022 antes de impuesto'!D44</f>
        <v>0</v>
      </c>
      <c r="E44" s="47">
        <f t="shared" si="5"/>
        <v>50800000</v>
      </c>
      <c r="F44" s="47">
        <f t="shared" si="6"/>
        <v>0</v>
      </c>
      <c r="G44" s="47"/>
      <c r="H44" s="47"/>
      <c r="I44" s="47">
        <f t="shared" si="7"/>
        <v>50800000</v>
      </c>
      <c r="J44" s="47">
        <f t="shared" si="8"/>
        <v>0</v>
      </c>
    </row>
    <row r="45" spans="1:10">
      <c r="A45" s="62">
        <v>42002</v>
      </c>
      <c r="B45" s="53" t="s">
        <v>77</v>
      </c>
      <c r="C45" s="47">
        <f>+'balance 2022 antes de impuesto'!C45</f>
        <v>2540000</v>
      </c>
      <c r="D45" s="47">
        <f>+'balance 2022 antes de impuesto'!D45</f>
        <v>0</v>
      </c>
      <c r="E45" s="47">
        <f t="shared" si="5"/>
        <v>2540000</v>
      </c>
      <c r="F45" s="47">
        <f t="shared" si="6"/>
        <v>0</v>
      </c>
      <c r="G45" s="47"/>
      <c r="H45" s="47"/>
      <c r="I45" s="47">
        <f t="shared" si="7"/>
        <v>2540000</v>
      </c>
      <c r="J45" s="47">
        <f t="shared" si="8"/>
        <v>0</v>
      </c>
    </row>
    <row r="46" spans="1:10">
      <c r="A46" s="62">
        <v>42051</v>
      </c>
      <c r="B46" s="53" t="s">
        <v>64</v>
      </c>
      <c r="C46" s="47">
        <f>+'balance 2022 antes de impuesto'!C46</f>
        <v>12345000</v>
      </c>
      <c r="D46" s="47">
        <f>+'balance 2022 antes de impuesto'!D46</f>
        <v>0</v>
      </c>
      <c r="E46" s="47">
        <f t="shared" si="5"/>
        <v>12345000</v>
      </c>
      <c r="F46" s="47">
        <f t="shared" si="6"/>
        <v>0</v>
      </c>
      <c r="G46" s="47"/>
      <c r="H46" s="47"/>
      <c r="I46" s="47">
        <f t="shared" si="7"/>
        <v>12345000</v>
      </c>
      <c r="J46" s="47">
        <f t="shared" si="8"/>
        <v>0</v>
      </c>
    </row>
    <row r="47" spans="1:10">
      <c r="A47" s="62">
        <v>43001</v>
      </c>
      <c r="B47" s="53" t="s">
        <v>95</v>
      </c>
      <c r="C47" s="47">
        <f>+'balance 2022 antes de impuesto'!C47</f>
        <v>0</v>
      </c>
      <c r="D47" s="47">
        <f>+'balance 2022 antes de impuesto'!D47</f>
        <v>0</v>
      </c>
      <c r="E47" s="47">
        <f t="shared" si="5"/>
        <v>0</v>
      </c>
      <c r="F47" s="47">
        <f t="shared" si="6"/>
        <v>0</v>
      </c>
      <c r="G47" s="47"/>
      <c r="H47" s="47"/>
      <c r="I47" s="47">
        <f t="shared" si="7"/>
        <v>0</v>
      </c>
      <c r="J47" s="47">
        <f t="shared" si="8"/>
        <v>0</v>
      </c>
    </row>
    <row r="48" spans="1:10">
      <c r="A48" s="62">
        <v>43002</v>
      </c>
      <c r="B48" s="53" t="s">
        <v>390</v>
      </c>
      <c r="C48" s="47">
        <f>+'balance 2022 antes de impuesto'!C48</f>
        <v>2016666.6666666665</v>
      </c>
      <c r="D48" s="47">
        <f>+'balance 2022 antes de impuesto'!D48</f>
        <v>0</v>
      </c>
      <c r="E48" s="47">
        <f t="shared" si="5"/>
        <v>2016666.6666666665</v>
      </c>
      <c r="F48" s="47">
        <f t="shared" si="6"/>
        <v>0</v>
      </c>
      <c r="G48" s="47"/>
      <c r="H48" s="47"/>
      <c r="I48" s="47">
        <f t="shared" si="7"/>
        <v>2016666.6666666665</v>
      </c>
      <c r="J48" s="47">
        <f t="shared" si="8"/>
        <v>0</v>
      </c>
    </row>
    <row r="49" spans="1:13">
      <c r="A49" s="62" t="s">
        <v>65</v>
      </c>
      <c r="B49" s="53" t="s">
        <v>66</v>
      </c>
      <c r="C49" s="47">
        <f>+'balance 2022 antes de impuesto'!C49</f>
        <v>3570000</v>
      </c>
      <c r="D49" s="47">
        <f>+'balance 2022 antes de impuesto'!D49</f>
        <v>0</v>
      </c>
      <c r="E49" s="47">
        <f t="shared" si="5"/>
        <v>3570000</v>
      </c>
      <c r="F49" s="47">
        <f t="shared" si="6"/>
        <v>0</v>
      </c>
      <c r="G49" s="47"/>
      <c r="H49" s="47"/>
      <c r="I49" s="47">
        <f t="shared" si="7"/>
        <v>3570000</v>
      </c>
      <c r="J49" s="47">
        <f t="shared" si="8"/>
        <v>0</v>
      </c>
    </row>
    <row r="50" spans="1:13">
      <c r="A50" s="62" t="s">
        <v>67</v>
      </c>
      <c r="B50" s="53" t="s">
        <v>68</v>
      </c>
      <c r="C50" s="47">
        <f>+'ajustes 2022 renta'!E2</f>
        <v>99757086.428571433</v>
      </c>
      <c r="D50" s="47">
        <f>+'balance 2022 antes de impuesto'!D50</f>
        <v>0</v>
      </c>
      <c r="E50" s="47">
        <f t="shared" si="5"/>
        <v>99757086.428571433</v>
      </c>
      <c r="F50" s="47">
        <f t="shared" si="6"/>
        <v>0</v>
      </c>
      <c r="G50" s="47"/>
      <c r="H50" s="47"/>
      <c r="I50" s="47">
        <f t="shared" si="7"/>
        <v>99757086.428571433</v>
      </c>
      <c r="J50" s="47">
        <f t="shared" si="8"/>
        <v>0</v>
      </c>
    </row>
    <row r="51" spans="1:13">
      <c r="A51" s="62" t="s">
        <v>533</v>
      </c>
      <c r="B51" s="53" t="s">
        <v>534</v>
      </c>
      <c r="C51" s="47">
        <f>+'ajustes 2022 renta'!E6</f>
        <v>1586508</v>
      </c>
      <c r="D51" s="47">
        <f>+'balance 2022 antes de impuesto'!D51</f>
        <v>0</v>
      </c>
      <c r="E51" s="47">
        <f t="shared" ref="E51" si="9">IF(C51&gt;D51,(C51-D51),0)</f>
        <v>1586508</v>
      </c>
      <c r="F51" s="47">
        <f t="shared" ref="F51" si="10">IF(D51&gt;C51,D51-C51,0)</f>
        <v>0</v>
      </c>
      <c r="G51" s="47"/>
      <c r="H51" s="47"/>
      <c r="I51" s="47">
        <f t="shared" ref="I51" si="11">IF(E51&gt;F51,E51,0)</f>
        <v>1586508</v>
      </c>
      <c r="J51" s="47">
        <f t="shared" ref="J51" si="12">IF(F51&gt;E51,F51,0)</f>
        <v>0</v>
      </c>
    </row>
    <row r="52" spans="1:13">
      <c r="A52" s="62">
        <v>45101</v>
      </c>
      <c r="B52" s="53" t="s">
        <v>69</v>
      </c>
      <c r="C52" s="47">
        <f>+'balance 2022 antes de impuesto'!C52</f>
        <v>1874000</v>
      </c>
      <c r="D52" s="47">
        <f>+'balance 2022 antes de impuesto'!D52</f>
        <v>0</v>
      </c>
      <c r="E52" s="47">
        <f t="shared" si="5"/>
        <v>1874000</v>
      </c>
      <c r="F52" s="47">
        <f t="shared" si="6"/>
        <v>0</v>
      </c>
      <c r="G52" s="47"/>
      <c r="H52" s="47"/>
      <c r="I52" s="47">
        <f t="shared" si="7"/>
        <v>1874000</v>
      </c>
      <c r="J52" s="47">
        <f t="shared" si="8"/>
        <v>0</v>
      </c>
    </row>
    <row r="53" spans="1:13">
      <c r="A53" s="62">
        <v>46001</v>
      </c>
      <c r="B53" s="53" t="s">
        <v>167</v>
      </c>
      <c r="C53" s="47">
        <f>+'balance 2022 antes de impuesto'!C53</f>
        <v>2800000</v>
      </c>
      <c r="D53" s="47">
        <f>+'balance 2022 antes de impuesto'!D53</f>
        <v>0</v>
      </c>
      <c r="E53" s="47">
        <f t="shared" si="5"/>
        <v>2800000</v>
      </c>
      <c r="F53" s="47">
        <f t="shared" si="6"/>
        <v>0</v>
      </c>
      <c r="G53" s="47"/>
      <c r="H53" s="47"/>
      <c r="I53" s="47">
        <f t="shared" si="7"/>
        <v>2800000</v>
      </c>
      <c r="J53" s="47">
        <f t="shared" si="8"/>
        <v>0</v>
      </c>
    </row>
    <row r="54" spans="1:13">
      <c r="A54" s="62">
        <v>47141</v>
      </c>
      <c r="B54" s="53" t="s">
        <v>79</v>
      </c>
      <c r="C54" s="47">
        <f>+'balance 2022 antes de impuesto'!C54</f>
        <v>9000000</v>
      </c>
      <c r="D54" s="47">
        <f>+'balance 2022 antes de impuesto'!D54</f>
        <v>0</v>
      </c>
      <c r="E54" s="47">
        <f t="shared" si="5"/>
        <v>9000000</v>
      </c>
      <c r="F54" s="47">
        <f t="shared" si="6"/>
        <v>0</v>
      </c>
      <c r="G54" s="47"/>
      <c r="H54" s="47"/>
      <c r="I54" s="47">
        <f t="shared" si="7"/>
        <v>9000000</v>
      </c>
      <c r="J54" s="47">
        <f t="shared" si="8"/>
        <v>0</v>
      </c>
    </row>
    <row r="55" spans="1:13">
      <c r="A55" s="62">
        <v>47151</v>
      </c>
      <c r="B55" s="53" t="s">
        <v>82</v>
      </c>
      <c r="C55" s="47">
        <f>+'balance 2022 antes de impuesto'!C55</f>
        <v>0</v>
      </c>
      <c r="D55" s="47">
        <f>+'balance 2022 antes de impuesto'!D55</f>
        <v>0</v>
      </c>
      <c r="E55" s="47">
        <f t="shared" si="5"/>
        <v>0</v>
      </c>
      <c r="F55" s="47">
        <f t="shared" si="6"/>
        <v>0</v>
      </c>
      <c r="G55" s="47"/>
      <c r="H55" s="47"/>
      <c r="I55" s="47">
        <f t="shared" si="7"/>
        <v>0</v>
      </c>
      <c r="J55" s="47">
        <f t="shared" si="8"/>
        <v>0</v>
      </c>
    </row>
    <row r="56" spans="1:13">
      <c r="A56" s="62">
        <v>47152</v>
      </c>
      <c r="B56" s="53" t="s">
        <v>18</v>
      </c>
      <c r="C56" s="47">
        <f>+'balance 2022 antes de impuesto'!C56</f>
        <v>0</v>
      </c>
      <c r="D56" s="47">
        <f>+'balance 2022 antes de impuesto'!D56</f>
        <v>0</v>
      </c>
      <c r="E56" s="47">
        <f t="shared" si="5"/>
        <v>0</v>
      </c>
      <c r="F56" s="47">
        <f t="shared" si="6"/>
        <v>0</v>
      </c>
      <c r="G56" s="47"/>
      <c r="H56" s="47"/>
      <c r="I56" s="47">
        <f t="shared" si="7"/>
        <v>0</v>
      </c>
      <c r="J56" s="47">
        <f t="shared" si="8"/>
        <v>0</v>
      </c>
    </row>
    <row r="57" spans="1:13">
      <c r="A57" s="62">
        <v>48001</v>
      </c>
      <c r="B57" s="53" t="s">
        <v>83</v>
      </c>
      <c r="C57" s="47">
        <f>+'balance 2022 antes de impuesto'!C57</f>
        <v>0</v>
      </c>
      <c r="D57" s="47">
        <f>+'balance 2022 antes de impuesto'!D57</f>
        <v>0</v>
      </c>
      <c r="E57" s="47">
        <f t="shared" si="5"/>
        <v>0</v>
      </c>
      <c r="F57" s="47">
        <f t="shared" si="6"/>
        <v>0</v>
      </c>
      <c r="G57" s="47"/>
      <c r="H57" s="47"/>
      <c r="I57" s="47">
        <f t="shared" si="7"/>
        <v>0</v>
      </c>
      <c r="J57" s="47">
        <f t="shared" si="8"/>
        <v>0</v>
      </c>
      <c r="M57" s="5"/>
    </row>
    <row r="58" spans="1:13">
      <c r="A58" s="62">
        <v>48101</v>
      </c>
      <c r="B58" s="53" t="s">
        <v>93</v>
      </c>
      <c r="C58" s="47">
        <f>+'balance 2022 antes de impuesto'!C58</f>
        <v>0</v>
      </c>
      <c r="D58" s="47">
        <f>+'balance 2022 antes de impuesto'!D58</f>
        <v>0</v>
      </c>
      <c r="E58" s="47">
        <f t="shared" si="5"/>
        <v>0</v>
      </c>
      <c r="F58" s="47">
        <f t="shared" si="6"/>
        <v>0</v>
      </c>
      <c r="G58" s="47"/>
      <c r="H58" s="47"/>
      <c r="I58" s="47">
        <f t="shared" si="7"/>
        <v>0</v>
      </c>
      <c r="J58" s="47">
        <f t="shared" si="8"/>
        <v>0</v>
      </c>
      <c r="M58" s="5"/>
    </row>
    <row r="59" spans="1:13">
      <c r="A59" s="62">
        <v>48150</v>
      </c>
      <c r="B59" s="53" t="s">
        <v>87</v>
      </c>
      <c r="C59" s="47">
        <f>+'balance 2022 antes de impuesto'!C59</f>
        <v>0</v>
      </c>
      <c r="D59" s="47">
        <f>+'balance 2022 antes de impuesto'!D59</f>
        <v>0</v>
      </c>
      <c r="E59" s="47">
        <f t="shared" si="5"/>
        <v>0</v>
      </c>
      <c r="F59" s="47">
        <f t="shared" si="6"/>
        <v>0</v>
      </c>
      <c r="G59" s="47"/>
      <c r="H59" s="47"/>
      <c r="I59" s="47">
        <f t="shared" si="7"/>
        <v>0</v>
      </c>
      <c r="J59" s="47">
        <f t="shared" si="8"/>
        <v>0</v>
      </c>
      <c r="M59" s="5"/>
    </row>
    <row r="60" spans="1:13">
      <c r="A60" s="62">
        <v>49001</v>
      </c>
      <c r="B60" s="53" t="s">
        <v>85</v>
      </c>
      <c r="C60" s="47">
        <f>+'balance 2022 antes de impuesto'!C60</f>
        <v>6880952.3809523806</v>
      </c>
      <c r="D60" s="47">
        <f>+'balance 2022 antes de impuesto'!D60</f>
        <v>0</v>
      </c>
      <c r="E60" s="47">
        <f t="shared" si="5"/>
        <v>6880952.3809523806</v>
      </c>
      <c r="F60" s="47">
        <f t="shared" si="6"/>
        <v>0</v>
      </c>
      <c r="G60" s="47"/>
      <c r="H60" s="47"/>
      <c r="I60" s="47">
        <f t="shared" si="7"/>
        <v>6880952.3809523806</v>
      </c>
      <c r="J60" s="47">
        <f t="shared" si="8"/>
        <v>0</v>
      </c>
    </row>
    <row r="61" spans="1:13">
      <c r="A61" s="62">
        <v>49101</v>
      </c>
      <c r="B61" s="53" t="s">
        <v>86</v>
      </c>
      <c r="C61" s="47">
        <f>+'balance 2022 antes de impuesto'!C61</f>
        <v>0</v>
      </c>
      <c r="D61" s="47">
        <f>+'balance 2022 antes de impuesto'!D61</f>
        <v>0</v>
      </c>
      <c r="E61" s="47">
        <f t="shared" si="5"/>
        <v>0</v>
      </c>
      <c r="F61" s="47">
        <f t="shared" si="6"/>
        <v>0</v>
      </c>
      <c r="G61" s="47"/>
      <c r="H61" s="47"/>
      <c r="I61" s="47">
        <f t="shared" si="7"/>
        <v>0</v>
      </c>
      <c r="J61" s="47">
        <f t="shared" si="8"/>
        <v>0</v>
      </c>
    </row>
    <row r="62" spans="1:13">
      <c r="A62" s="62">
        <v>49120</v>
      </c>
      <c r="B62" s="53" t="s">
        <v>90</v>
      </c>
      <c r="C62" s="47">
        <f>+'balance 2022 antes de impuesto'!C62</f>
        <v>0</v>
      </c>
      <c r="D62" s="47">
        <f>+'balance 2022 antes de impuesto'!D62</f>
        <v>0</v>
      </c>
      <c r="E62" s="47">
        <f t="shared" si="5"/>
        <v>0</v>
      </c>
      <c r="F62" s="47">
        <f t="shared" si="6"/>
        <v>0</v>
      </c>
      <c r="G62" s="47"/>
      <c r="H62" s="47"/>
      <c r="I62" s="47">
        <f t="shared" si="7"/>
        <v>0</v>
      </c>
      <c r="J62" s="47">
        <f t="shared" si="8"/>
        <v>0</v>
      </c>
    </row>
    <row r="63" spans="1:13">
      <c r="A63" s="62">
        <v>50001</v>
      </c>
      <c r="B63" s="53" t="s">
        <v>70</v>
      </c>
      <c r="C63" s="47">
        <f>+'balance 2022 antes de impuesto'!C63</f>
        <v>0</v>
      </c>
      <c r="D63" s="47">
        <f>+'balance 2022 antes de impuesto'!D63</f>
        <v>748000</v>
      </c>
      <c r="E63" s="47">
        <f t="shared" si="5"/>
        <v>0</v>
      </c>
      <c r="F63" s="47">
        <f t="shared" si="6"/>
        <v>748000</v>
      </c>
      <c r="G63" s="47"/>
      <c r="H63" s="47"/>
      <c r="I63" s="47">
        <f t="shared" si="7"/>
        <v>0</v>
      </c>
      <c r="J63" s="47">
        <f t="shared" si="8"/>
        <v>748000</v>
      </c>
    </row>
    <row r="64" spans="1:13">
      <c r="A64" s="62">
        <v>50051</v>
      </c>
      <c r="B64" s="53" t="s">
        <v>78</v>
      </c>
      <c r="C64" s="47">
        <f>+'balance 2022 antes de impuesto'!C64</f>
        <v>0</v>
      </c>
      <c r="D64" s="47">
        <f>+'balance 2022 antes de impuesto'!D64</f>
        <v>255000</v>
      </c>
      <c r="E64" s="47">
        <f t="shared" si="5"/>
        <v>0</v>
      </c>
      <c r="F64" s="47">
        <f t="shared" si="6"/>
        <v>255000</v>
      </c>
      <c r="G64" s="47"/>
      <c r="H64" s="47"/>
      <c r="I64" s="47">
        <f t="shared" si="7"/>
        <v>0</v>
      </c>
      <c r="J64" s="47">
        <f t="shared" si="8"/>
        <v>255000</v>
      </c>
    </row>
    <row r="65" spans="1:10">
      <c r="A65" s="62">
        <v>51001</v>
      </c>
      <c r="B65" s="53" t="s">
        <v>71</v>
      </c>
      <c r="C65" s="47">
        <f>+'balance 2022 antes de impuesto'!C65</f>
        <v>0</v>
      </c>
      <c r="D65" s="47">
        <f>+'balance 2022 antes de impuesto'!D65</f>
        <v>1000000000</v>
      </c>
      <c r="E65" s="47">
        <f t="shared" si="5"/>
        <v>0</v>
      </c>
      <c r="F65" s="47">
        <f t="shared" si="6"/>
        <v>1000000000</v>
      </c>
      <c r="G65" s="47"/>
      <c r="H65" s="47"/>
      <c r="I65" s="47">
        <f t="shared" si="7"/>
        <v>0</v>
      </c>
      <c r="J65" s="47">
        <f t="shared" si="8"/>
        <v>1000000000</v>
      </c>
    </row>
    <row r="66" spans="1:10" ht="15.75">
      <c r="A66" s="59"/>
      <c r="B66" s="55"/>
      <c r="C66" s="56">
        <f>SUM(C5:C65)</f>
        <v>4297445413.4761906</v>
      </c>
      <c r="D66" s="56">
        <f>SUM(D5:D65)</f>
        <v>4297445413.4761906</v>
      </c>
      <c r="E66" s="56">
        <f>SUM(E5:E65)</f>
        <v>1944506013.4761906</v>
      </c>
      <c r="F66" s="56">
        <f>SUM(F5:F65)</f>
        <v>1944506013.4761906</v>
      </c>
      <c r="G66" s="56">
        <f>SUM(G5:G65)</f>
        <v>1451335800</v>
      </c>
      <c r="H66" s="56">
        <f>SUM(H5:H65)</f>
        <v>943503013.47619045</v>
      </c>
      <c r="I66" s="56">
        <f>SUM(I5:I65)</f>
        <v>493170213.47619045</v>
      </c>
      <c r="J66" s="56">
        <f>SUM(J5:J65)</f>
        <v>1001003000</v>
      </c>
    </row>
    <row r="67" spans="1:10" ht="15.75">
      <c r="A67" s="60"/>
      <c r="B67" s="57" t="s">
        <v>197</v>
      </c>
      <c r="C67" s="56"/>
      <c r="D67" s="56"/>
      <c r="E67" s="56"/>
      <c r="F67" s="56"/>
      <c r="G67" s="56"/>
      <c r="H67" s="56">
        <f>+G66-H66</f>
        <v>507832786.52380955</v>
      </c>
      <c r="I67" s="56">
        <f>+J66-I66</f>
        <v>507832786.52380955</v>
      </c>
      <c r="J67" s="56"/>
    </row>
    <row r="68" spans="1:10">
      <c r="A68" s="60"/>
      <c r="B68" s="53" t="s">
        <v>0</v>
      </c>
      <c r="C68" s="54">
        <f>+C66+C67</f>
        <v>4297445413.4761906</v>
      </c>
      <c r="D68" s="54">
        <f t="shared" ref="D68:J68" si="13">+D66+D67</f>
        <v>4297445413.4761906</v>
      </c>
      <c r="E68" s="54">
        <f t="shared" si="13"/>
        <v>1944506013.4761906</v>
      </c>
      <c r="F68" s="54">
        <f t="shared" si="13"/>
        <v>1944506013.4761906</v>
      </c>
      <c r="G68" s="54">
        <f t="shared" si="13"/>
        <v>1451335800</v>
      </c>
      <c r="H68" s="54">
        <f t="shared" si="13"/>
        <v>1451335800</v>
      </c>
      <c r="I68" s="54">
        <f t="shared" si="13"/>
        <v>1001003000</v>
      </c>
      <c r="J68" s="54">
        <f t="shared" si="13"/>
        <v>1001003000</v>
      </c>
    </row>
    <row r="69" spans="1:10">
      <c r="D69" s="5">
        <f>+C68-D68</f>
        <v>0</v>
      </c>
      <c r="E69" s="5"/>
      <c r="F69" s="5">
        <f t="shared" ref="F69" si="14">+E68-F68</f>
        <v>0</v>
      </c>
      <c r="G69" s="5"/>
      <c r="H69" s="5"/>
      <c r="I69" s="5"/>
      <c r="J69" s="5"/>
    </row>
  </sheetData>
  <pageMargins left="0.75" right="0.75" top="1" bottom="1" header="0.5" footer="0.5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00"/>
  <sheetViews>
    <sheetView showGridLines="0" topLeftCell="A40" zoomScale="112" zoomScaleNormal="112" workbookViewId="0">
      <selection activeCell="D48" sqref="D48"/>
    </sheetView>
  </sheetViews>
  <sheetFormatPr baseColWidth="10" defaultColWidth="14.5703125" defaultRowHeight="15"/>
  <cols>
    <col min="1" max="1" width="2.7109375" style="234" customWidth="1"/>
    <col min="2" max="2" width="79.140625" style="234" customWidth="1"/>
    <col min="3" max="3" width="55.28515625" style="234" customWidth="1"/>
    <col min="4" max="4" width="24.28515625" style="234" customWidth="1"/>
    <col min="5" max="5" width="16.5703125" style="234" customWidth="1"/>
    <col min="6" max="7" width="3.42578125" style="234" customWidth="1"/>
    <col min="8" max="244" width="11.42578125" style="234" customWidth="1"/>
    <col min="245" max="246" width="2.7109375" style="234" customWidth="1"/>
    <col min="247" max="250" width="14.5703125" style="234"/>
    <col min="251" max="251" width="2.7109375" style="234" customWidth="1"/>
    <col min="252" max="252" width="48.28515625" style="234" customWidth="1"/>
    <col min="253" max="253" width="34.28515625" style="234" customWidth="1"/>
    <col min="254" max="254" width="24.28515625" style="234" customWidth="1"/>
    <col min="255" max="255" width="16.5703125" style="234" customWidth="1"/>
    <col min="256" max="257" width="3.42578125" style="234" customWidth="1"/>
    <col min="258" max="258" width="11.42578125" style="234" customWidth="1"/>
    <col min="259" max="259" width="21.42578125" style="234" customWidth="1"/>
    <col min="260" max="500" width="11.42578125" style="234" customWidth="1"/>
    <col min="501" max="502" width="2.7109375" style="234" customWidth="1"/>
    <col min="503" max="506" width="14.5703125" style="234"/>
    <col min="507" max="507" width="2.7109375" style="234" customWidth="1"/>
    <col min="508" max="508" width="48.28515625" style="234" customWidth="1"/>
    <col min="509" max="509" width="34.28515625" style="234" customWidth="1"/>
    <col min="510" max="510" width="24.28515625" style="234" customWidth="1"/>
    <col min="511" max="511" width="16.5703125" style="234" customWidth="1"/>
    <col min="512" max="513" width="3.42578125" style="234" customWidth="1"/>
    <col min="514" max="514" width="11.42578125" style="234" customWidth="1"/>
    <col min="515" max="515" width="21.42578125" style="234" customWidth="1"/>
    <col min="516" max="756" width="11.42578125" style="234" customWidth="1"/>
    <col min="757" max="758" width="2.7109375" style="234" customWidth="1"/>
    <col min="759" max="762" width="14.5703125" style="234"/>
    <col min="763" max="763" width="2.7109375" style="234" customWidth="1"/>
    <col min="764" max="764" width="48.28515625" style="234" customWidth="1"/>
    <col min="765" max="765" width="34.28515625" style="234" customWidth="1"/>
    <col min="766" max="766" width="24.28515625" style="234" customWidth="1"/>
    <col min="767" max="767" width="16.5703125" style="234" customWidth="1"/>
    <col min="768" max="769" width="3.42578125" style="234" customWidth="1"/>
    <col min="770" max="770" width="11.42578125" style="234" customWidth="1"/>
    <col min="771" max="771" width="21.42578125" style="234" customWidth="1"/>
    <col min="772" max="1012" width="11.42578125" style="234" customWidth="1"/>
    <col min="1013" max="1014" width="2.7109375" style="234" customWidth="1"/>
    <col min="1015" max="1018" width="14.5703125" style="234"/>
    <col min="1019" max="1019" width="2.7109375" style="234" customWidth="1"/>
    <col min="1020" max="1020" width="48.28515625" style="234" customWidth="1"/>
    <col min="1021" max="1021" width="34.28515625" style="234" customWidth="1"/>
    <col min="1022" max="1022" width="24.28515625" style="234" customWidth="1"/>
    <col min="1023" max="1023" width="16.5703125" style="234" customWidth="1"/>
    <col min="1024" max="1025" width="3.42578125" style="234" customWidth="1"/>
    <col min="1026" max="1026" width="11.42578125" style="234" customWidth="1"/>
    <col min="1027" max="1027" width="21.42578125" style="234" customWidth="1"/>
    <col min="1028" max="1268" width="11.42578125" style="234" customWidth="1"/>
    <col min="1269" max="1270" width="2.7109375" style="234" customWidth="1"/>
    <col min="1271" max="1274" width="14.5703125" style="234"/>
    <col min="1275" max="1275" width="2.7109375" style="234" customWidth="1"/>
    <col min="1276" max="1276" width="48.28515625" style="234" customWidth="1"/>
    <col min="1277" max="1277" width="34.28515625" style="234" customWidth="1"/>
    <col min="1278" max="1278" width="24.28515625" style="234" customWidth="1"/>
    <col min="1279" max="1279" width="16.5703125" style="234" customWidth="1"/>
    <col min="1280" max="1281" width="3.42578125" style="234" customWidth="1"/>
    <col min="1282" max="1282" width="11.42578125" style="234" customWidth="1"/>
    <col min="1283" max="1283" width="21.42578125" style="234" customWidth="1"/>
    <col min="1284" max="1524" width="11.42578125" style="234" customWidth="1"/>
    <col min="1525" max="1526" width="2.7109375" style="234" customWidth="1"/>
    <col min="1527" max="1530" width="14.5703125" style="234"/>
    <col min="1531" max="1531" width="2.7109375" style="234" customWidth="1"/>
    <col min="1532" max="1532" width="48.28515625" style="234" customWidth="1"/>
    <col min="1533" max="1533" width="34.28515625" style="234" customWidth="1"/>
    <col min="1534" max="1534" width="24.28515625" style="234" customWidth="1"/>
    <col min="1535" max="1535" width="16.5703125" style="234" customWidth="1"/>
    <col min="1536" max="1537" width="3.42578125" style="234" customWidth="1"/>
    <col min="1538" max="1538" width="11.42578125" style="234" customWidth="1"/>
    <col min="1539" max="1539" width="21.42578125" style="234" customWidth="1"/>
    <col min="1540" max="1780" width="11.42578125" style="234" customWidth="1"/>
    <col min="1781" max="1782" width="2.7109375" style="234" customWidth="1"/>
    <col min="1783" max="1786" width="14.5703125" style="234"/>
    <col min="1787" max="1787" width="2.7109375" style="234" customWidth="1"/>
    <col min="1788" max="1788" width="48.28515625" style="234" customWidth="1"/>
    <col min="1789" max="1789" width="34.28515625" style="234" customWidth="1"/>
    <col min="1790" max="1790" width="24.28515625" style="234" customWidth="1"/>
    <col min="1791" max="1791" width="16.5703125" style="234" customWidth="1"/>
    <col min="1792" max="1793" width="3.42578125" style="234" customWidth="1"/>
    <col min="1794" max="1794" width="11.42578125" style="234" customWidth="1"/>
    <col min="1795" max="1795" width="21.42578125" style="234" customWidth="1"/>
    <col min="1796" max="2036" width="11.42578125" style="234" customWidth="1"/>
    <col min="2037" max="2038" width="2.7109375" style="234" customWidth="1"/>
    <col min="2039" max="2042" width="14.5703125" style="234"/>
    <col min="2043" max="2043" width="2.7109375" style="234" customWidth="1"/>
    <col min="2044" max="2044" width="48.28515625" style="234" customWidth="1"/>
    <col min="2045" max="2045" width="34.28515625" style="234" customWidth="1"/>
    <col min="2046" max="2046" width="24.28515625" style="234" customWidth="1"/>
    <col min="2047" max="2047" width="16.5703125" style="234" customWidth="1"/>
    <col min="2048" max="2049" width="3.42578125" style="234" customWidth="1"/>
    <col min="2050" max="2050" width="11.42578125" style="234" customWidth="1"/>
    <col min="2051" max="2051" width="21.42578125" style="234" customWidth="1"/>
    <col min="2052" max="2292" width="11.42578125" style="234" customWidth="1"/>
    <col min="2293" max="2294" width="2.7109375" style="234" customWidth="1"/>
    <col min="2295" max="2298" width="14.5703125" style="234"/>
    <col min="2299" max="2299" width="2.7109375" style="234" customWidth="1"/>
    <col min="2300" max="2300" width="48.28515625" style="234" customWidth="1"/>
    <col min="2301" max="2301" width="34.28515625" style="234" customWidth="1"/>
    <col min="2302" max="2302" width="24.28515625" style="234" customWidth="1"/>
    <col min="2303" max="2303" width="16.5703125" style="234" customWidth="1"/>
    <col min="2304" max="2305" width="3.42578125" style="234" customWidth="1"/>
    <col min="2306" max="2306" width="11.42578125" style="234" customWidth="1"/>
    <col min="2307" max="2307" width="21.42578125" style="234" customWidth="1"/>
    <col min="2308" max="2548" width="11.42578125" style="234" customWidth="1"/>
    <col min="2549" max="2550" width="2.7109375" style="234" customWidth="1"/>
    <col min="2551" max="2554" width="14.5703125" style="234"/>
    <col min="2555" max="2555" width="2.7109375" style="234" customWidth="1"/>
    <col min="2556" max="2556" width="48.28515625" style="234" customWidth="1"/>
    <col min="2557" max="2557" width="34.28515625" style="234" customWidth="1"/>
    <col min="2558" max="2558" width="24.28515625" style="234" customWidth="1"/>
    <col min="2559" max="2559" width="16.5703125" style="234" customWidth="1"/>
    <col min="2560" max="2561" width="3.42578125" style="234" customWidth="1"/>
    <col min="2562" max="2562" width="11.42578125" style="234" customWidth="1"/>
    <col min="2563" max="2563" width="21.42578125" style="234" customWidth="1"/>
    <col min="2564" max="2804" width="11.42578125" style="234" customWidth="1"/>
    <col min="2805" max="2806" width="2.7109375" style="234" customWidth="1"/>
    <col min="2807" max="2810" width="14.5703125" style="234"/>
    <col min="2811" max="2811" width="2.7109375" style="234" customWidth="1"/>
    <col min="2812" max="2812" width="48.28515625" style="234" customWidth="1"/>
    <col min="2813" max="2813" width="34.28515625" style="234" customWidth="1"/>
    <col min="2814" max="2814" width="24.28515625" style="234" customWidth="1"/>
    <col min="2815" max="2815" width="16.5703125" style="234" customWidth="1"/>
    <col min="2816" max="2817" width="3.42578125" style="234" customWidth="1"/>
    <col min="2818" max="2818" width="11.42578125" style="234" customWidth="1"/>
    <col min="2819" max="2819" width="21.42578125" style="234" customWidth="1"/>
    <col min="2820" max="3060" width="11.42578125" style="234" customWidth="1"/>
    <col min="3061" max="3062" width="2.7109375" style="234" customWidth="1"/>
    <col min="3063" max="3066" width="14.5703125" style="234"/>
    <col min="3067" max="3067" width="2.7109375" style="234" customWidth="1"/>
    <col min="3068" max="3068" width="48.28515625" style="234" customWidth="1"/>
    <col min="3069" max="3069" width="34.28515625" style="234" customWidth="1"/>
    <col min="3070" max="3070" width="24.28515625" style="234" customWidth="1"/>
    <col min="3071" max="3071" width="16.5703125" style="234" customWidth="1"/>
    <col min="3072" max="3073" width="3.42578125" style="234" customWidth="1"/>
    <col min="3074" max="3074" width="11.42578125" style="234" customWidth="1"/>
    <col min="3075" max="3075" width="21.42578125" style="234" customWidth="1"/>
    <col min="3076" max="3316" width="11.42578125" style="234" customWidth="1"/>
    <col min="3317" max="3318" width="2.7109375" style="234" customWidth="1"/>
    <col min="3319" max="3322" width="14.5703125" style="234"/>
    <col min="3323" max="3323" width="2.7109375" style="234" customWidth="1"/>
    <col min="3324" max="3324" width="48.28515625" style="234" customWidth="1"/>
    <col min="3325" max="3325" width="34.28515625" style="234" customWidth="1"/>
    <col min="3326" max="3326" width="24.28515625" style="234" customWidth="1"/>
    <col min="3327" max="3327" width="16.5703125" style="234" customWidth="1"/>
    <col min="3328" max="3329" width="3.42578125" style="234" customWidth="1"/>
    <col min="3330" max="3330" width="11.42578125" style="234" customWidth="1"/>
    <col min="3331" max="3331" width="21.42578125" style="234" customWidth="1"/>
    <col min="3332" max="3572" width="11.42578125" style="234" customWidth="1"/>
    <col min="3573" max="3574" width="2.7109375" style="234" customWidth="1"/>
    <col min="3575" max="3578" width="14.5703125" style="234"/>
    <col min="3579" max="3579" width="2.7109375" style="234" customWidth="1"/>
    <col min="3580" max="3580" width="48.28515625" style="234" customWidth="1"/>
    <col min="3581" max="3581" width="34.28515625" style="234" customWidth="1"/>
    <col min="3582" max="3582" width="24.28515625" style="234" customWidth="1"/>
    <col min="3583" max="3583" width="16.5703125" style="234" customWidth="1"/>
    <col min="3584" max="3585" width="3.42578125" style="234" customWidth="1"/>
    <col min="3586" max="3586" width="11.42578125" style="234" customWidth="1"/>
    <col min="3587" max="3587" width="21.42578125" style="234" customWidth="1"/>
    <col min="3588" max="3828" width="11.42578125" style="234" customWidth="1"/>
    <col min="3829" max="3830" width="2.7109375" style="234" customWidth="1"/>
    <col min="3831" max="3834" width="14.5703125" style="234"/>
    <col min="3835" max="3835" width="2.7109375" style="234" customWidth="1"/>
    <col min="3836" max="3836" width="48.28515625" style="234" customWidth="1"/>
    <col min="3837" max="3837" width="34.28515625" style="234" customWidth="1"/>
    <col min="3838" max="3838" width="24.28515625" style="234" customWidth="1"/>
    <col min="3839" max="3839" width="16.5703125" style="234" customWidth="1"/>
    <col min="3840" max="3841" width="3.42578125" style="234" customWidth="1"/>
    <col min="3842" max="3842" width="11.42578125" style="234" customWidth="1"/>
    <col min="3843" max="3843" width="21.42578125" style="234" customWidth="1"/>
    <col min="3844" max="4084" width="11.42578125" style="234" customWidth="1"/>
    <col min="4085" max="4086" width="2.7109375" style="234" customWidth="1"/>
    <col min="4087" max="4090" width="14.5703125" style="234"/>
    <col min="4091" max="4091" width="2.7109375" style="234" customWidth="1"/>
    <col min="4092" max="4092" width="48.28515625" style="234" customWidth="1"/>
    <col min="4093" max="4093" width="34.28515625" style="234" customWidth="1"/>
    <col min="4094" max="4094" width="24.28515625" style="234" customWidth="1"/>
    <col min="4095" max="4095" width="16.5703125" style="234" customWidth="1"/>
    <col min="4096" max="4097" width="3.42578125" style="234" customWidth="1"/>
    <col min="4098" max="4098" width="11.42578125" style="234" customWidth="1"/>
    <col min="4099" max="4099" width="21.42578125" style="234" customWidth="1"/>
    <col min="4100" max="4340" width="11.42578125" style="234" customWidth="1"/>
    <col min="4341" max="4342" width="2.7109375" style="234" customWidth="1"/>
    <col min="4343" max="4346" width="14.5703125" style="234"/>
    <col min="4347" max="4347" width="2.7109375" style="234" customWidth="1"/>
    <col min="4348" max="4348" width="48.28515625" style="234" customWidth="1"/>
    <col min="4349" max="4349" width="34.28515625" style="234" customWidth="1"/>
    <col min="4350" max="4350" width="24.28515625" style="234" customWidth="1"/>
    <col min="4351" max="4351" width="16.5703125" style="234" customWidth="1"/>
    <col min="4352" max="4353" width="3.42578125" style="234" customWidth="1"/>
    <col min="4354" max="4354" width="11.42578125" style="234" customWidth="1"/>
    <col min="4355" max="4355" width="21.42578125" style="234" customWidth="1"/>
    <col min="4356" max="4596" width="11.42578125" style="234" customWidth="1"/>
    <col min="4597" max="4598" width="2.7109375" style="234" customWidth="1"/>
    <col min="4599" max="4602" width="14.5703125" style="234"/>
    <col min="4603" max="4603" width="2.7109375" style="234" customWidth="1"/>
    <col min="4604" max="4604" width="48.28515625" style="234" customWidth="1"/>
    <col min="4605" max="4605" width="34.28515625" style="234" customWidth="1"/>
    <col min="4606" max="4606" width="24.28515625" style="234" customWidth="1"/>
    <col min="4607" max="4607" width="16.5703125" style="234" customWidth="1"/>
    <col min="4608" max="4609" width="3.42578125" style="234" customWidth="1"/>
    <col min="4610" max="4610" width="11.42578125" style="234" customWidth="1"/>
    <col min="4611" max="4611" width="21.42578125" style="234" customWidth="1"/>
    <col min="4612" max="4852" width="11.42578125" style="234" customWidth="1"/>
    <col min="4853" max="4854" width="2.7109375" style="234" customWidth="1"/>
    <col min="4855" max="4858" width="14.5703125" style="234"/>
    <col min="4859" max="4859" width="2.7109375" style="234" customWidth="1"/>
    <col min="4860" max="4860" width="48.28515625" style="234" customWidth="1"/>
    <col min="4861" max="4861" width="34.28515625" style="234" customWidth="1"/>
    <col min="4862" max="4862" width="24.28515625" style="234" customWidth="1"/>
    <col min="4863" max="4863" width="16.5703125" style="234" customWidth="1"/>
    <col min="4864" max="4865" width="3.42578125" style="234" customWidth="1"/>
    <col min="4866" max="4866" width="11.42578125" style="234" customWidth="1"/>
    <col min="4867" max="4867" width="21.42578125" style="234" customWidth="1"/>
    <col min="4868" max="5108" width="11.42578125" style="234" customWidth="1"/>
    <col min="5109" max="5110" width="2.7109375" style="234" customWidth="1"/>
    <col min="5111" max="5114" width="14.5703125" style="234"/>
    <col min="5115" max="5115" width="2.7109375" style="234" customWidth="1"/>
    <col min="5116" max="5116" width="48.28515625" style="234" customWidth="1"/>
    <col min="5117" max="5117" width="34.28515625" style="234" customWidth="1"/>
    <col min="5118" max="5118" width="24.28515625" style="234" customWidth="1"/>
    <col min="5119" max="5119" width="16.5703125" style="234" customWidth="1"/>
    <col min="5120" max="5121" width="3.42578125" style="234" customWidth="1"/>
    <col min="5122" max="5122" width="11.42578125" style="234" customWidth="1"/>
    <col min="5123" max="5123" width="21.42578125" style="234" customWidth="1"/>
    <col min="5124" max="5364" width="11.42578125" style="234" customWidth="1"/>
    <col min="5365" max="5366" width="2.7109375" style="234" customWidth="1"/>
    <col min="5367" max="5370" width="14.5703125" style="234"/>
    <col min="5371" max="5371" width="2.7109375" style="234" customWidth="1"/>
    <col min="5372" max="5372" width="48.28515625" style="234" customWidth="1"/>
    <col min="5373" max="5373" width="34.28515625" style="234" customWidth="1"/>
    <col min="5374" max="5374" width="24.28515625" style="234" customWidth="1"/>
    <col min="5375" max="5375" width="16.5703125" style="234" customWidth="1"/>
    <col min="5376" max="5377" width="3.42578125" style="234" customWidth="1"/>
    <col min="5378" max="5378" width="11.42578125" style="234" customWidth="1"/>
    <col min="5379" max="5379" width="21.42578125" style="234" customWidth="1"/>
    <col min="5380" max="5620" width="11.42578125" style="234" customWidth="1"/>
    <col min="5621" max="5622" width="2.7109375" style="234" customWidth="1"/>
    <col min="5623" max="5626" width="14.5703125" style="234"/>
    <col min="5627" max="5627" width="2.7109375" style="234" customWidth="1"/>
    <col min="5628" max="5628" width="48.28515625" style="234" customWidth="1"/>
    <col min="5629" max="5629" width="34.28515625" style="234" customWidth="1"/>
    <col min="5630" max="5630" width="24.28515625" style="234" customWidth="1"/>
    <col min="5631" max="5631" width="16.5703125" style="234" customWidth="1"/>
    <col min="5632" max="5633" width="3.42578125" style="234" customWidth="1"/>
    <col min="5634" max="5634" width="11.42578125" style="234" customWidth="1"/>
    <col min="5635" max="5635" width="21.42578125" style="234" customWidth="1"/>
    <col min="5636" max="5876" width="11.42578125" style="234" customWidth="1"/>
    <col min="5877" max="5878" width="2.7109375" style="234" customWidth="1"/>
    <col min="5879" max="5882" width="14.5703125" style="234"/>
    <col min="5883" max="5883" width="2.7109375" style="234" customWidth="1"/>
    <col min="5884" max="5884" width="48.28515625" style="234" customWidth="1"/>
    <col min="5885" max="5885" width="34.28515625" style="234" customWidth="1"/>
    <col min="5886" max="5886" width="24.28515625" style="234" customWidth="1"/>
    <col min="5887" max="5887" width="16.5703125" style="234" customWidth="1"/>
    <col min="5888" max="5889" width="3.42578125" style="234" customWidth="1"/>
    <col min="5890" max="5890" width="11.42578125" style="234" customWidth="1"/>
    <col min="5891" max="5891" width="21.42578125" style="234" customWidth="1"/>
    <col min="5892" max="6132" width="11.42578125" style="234" customWidth="1"/>
    <col min="6133" max="6134" width="2.7109375" style="234" customWidth="1"/>
    <col min="6135" max="6138" width="14.5703125" style="234"/>
    <col min="6139" max="6139" width="2.7109375" style="234" customWidth="1"/>
    <col min="6140" max="6140" width="48.28515625" style="234" customWidth="1"/>
    <col min="6141" max="6141" width="34.28515625" style="234" customWidth="1"/>
    <col min="6142" max="6142" width="24.28515625" style="234" customWidth="1"/>
    <col min="6143" max="6143" width="16.5703125" style="234" customWidth="1"/>
    <col min="6144" max="6145" width="3.42578125" style="234" customWidth="1"/>
    <col min="6146" max="6146" width="11.42578125" style="234" customWidth="1"/>
    <col min="6147" max="6147" width="21.42578125" style="234" customWidth="1"/>
    <col min="6148" max="6388" width="11.42578125" style="234" customWidth="1"/>
    <col min="6389" max="6390" width="2.7109375" style="234" customWidth="1"/>
    <col min="6391" max="6394" width="14.5703125" style="234"/>
    <col min="6395" max="6395" width="2.7109375" style="234" customWidth="1"/>
    <col min="6396" max="6396" width="48.28515625" style="234" customWidth="1"/>
    <col min="6397" max="6397" width="34.28515625" style="234" customWidth="1"/>
    <col min="6398" max="6398" width="24.28515625" style="234" customWidth="1"/>
    <col min="6399" max="6399" width="16.5703125" style="234" customWidth="1"/>
    <col min="6400" max="6401" width="3.42578125" style="234" customWidth="1"/>
    <col min="6402" max="6402" width="11.42578125" style="234" customWidth="1"/>
    <col min="6403" max="6403" width="21.42578125" style="234" customWidth="1"/>
    <col min="6404" max="6644" width="11.42578125" style="234" customWidth="1"/>
    <col min="6645" max="6646" width="2.7109375" style="234" customWidth="1"/>
    <col min="6647" max="6650" width="14.5703125" style="234"/>
    <col min="6651" max="6651" width="2.7109375" style="234" customWidth="1"/>
    <col min="6652" max="6652" width="48.28515625" style="234" customWidth="1"/>
    <col min="6653" max="6653" width="34.28515625" style="234" customWidth="1"/>
    <col min="6654" max="6654" width="24.28515625" style="234" customWidth="1"/>
    <col min="6655" max="6655" width="16.5703125" style="234" customWidth="1"/>
    <col min="6656" max="6657" width="3.42578125" style="234" customWidth="1"/>
    <col min="6658" max="6658" width="11.42578125" style="234" customWidth="1"/>
    <col min="6659" max="6659" width="21.42578125" style="234" customWidth="1"/>
    <col min="6660" max="6900" width="11.42578125" style="234" customWidth="1"/>
    <col min="6901" max="6902" width="2.7109375" style="234" customWidth="1"/>
    <col min="6903" max="6906" width="14.5703125" style="234"/>
    <col min="6907" max="6907" width="2.7109375" style="234" customWidth="1"/>
    <col min="6908" max="6908" width="48.28515625" style="234" customWidth="1"/>
    <col min="6909" max="6909" width="34.28515625" style="234" customWidth="1"/>
    <col min="6910" max="6910" width="24.28515625" style="234" customWidth="1"/>
    <col min="6911" max="6911" width="16.5703125" style="234" customWidth="1"/>
    <col min="6912" max="6913" width="3.42578125" style="234" customWidth="1"/>
    <col min="6914" max="6914" width="11.42578125" style="234" customWidth="1"/>
    <col min="6915" max="6915" width="21.42578125" style="234" customWidth="1"/>
    <col min="6916" max="7156" width="11.42578125" style="234" customWidth="1"/>
    <col min="7157" max="7158" width="2.7109375" style="234" customWidth="1"/>
    <col min="7159" max="7162" width="14.5703125" style="234"/>
    <col min="7163" max="7163" width="2.7109375" style="234" customWidth="1"/>
    <col min="7164" max="7164" width="48.28515625" style="234" customWidth="1"/>
    <col min="7165" max="7165" width="34.28515625" style="234" customWidth="1"/>
    <col min="7166" max="7166" width="24.28515625" style="234" customWidth="1"/>
    <col min="7167" max="7167" width="16.5703125" style="234" customWidth="1"/>
    <col min="7168" max="7169" width="3.42578125" style="234" customWidth="1"/>
    <col min="7170" max="7170" width="11.42578125" style="234" customWidth="1"/>
    <col min="7171" max="7171" width="21.42578125" style="234" customWidth="1"/>
    <col min="7172" max="7412" width="11.42578125" style="234" customWidth="1"/>
    <col min="7413" max="7414" width="2.7109375" style="234" customWidth="1"/>
    <col min="7415" max="7418" width="14.5703125" style="234"/>
    <col min="7419" max="7419" width="2.7109375" style="234" customWidth="1"/>
    <col min="7420" max="7420" width="48.28515625" style="234" customWidth="1"/>
    <col min="7421" max="7421" width="34.28515625" style="234" customWidth="1"/>
    <col min="7422" max="7422" width="24.28515625" style="234" customWidth="1"/>
    <col min="7423" max="7423" width="16.5703125" style="234" customWidth="1"/>
    <col min="7424" max="7425" width="3.42578125" style="234" customWidth="1"/>
    <col min="7426" max="7426" width="11.42578125" style="234" customWidth="1"/>
    <col min="7427" max="7427" width="21.42578125" style="234" customWidth="1"/>
    <col min="7428" max="7668" width="11.42578125" style="234" customWidth="1"/>
    <col min="7669" max="7670" width="2.7109375" style="234" customWidth="1"/>
    <col min="7671" max="7674" width="14.5703125" style="234"/>
    <col min="7675" max="7675" width="2.7109375" style="234" customWidth="1"/>
    <col min="7676" max="7676" width="48.28515625" style="234" customWidth="1"/>
    <col min="7677" max="7677" width="34.28515625" style="234" customWidth="1"/>
    <col min="7678" max="7678" width="24.28515625" style="234" customWidth="1"/>
    <col min="7679" max="7679" width="16.5703125" style="234" customWidth="1"/>
    <col min="7680" max="7681" width="3.42578125" style="234" customWidth="1"/>
    <col min="7682" max="7682" width="11.42578125" style="234" customWidth="1"/>
    <col min="7683" max="7683" width="21.42578125" style="234" customWidth="1"/>
    <col min="7684" max="7924" width="11.42578125" style="234" customWidth="1"/>
    <col min="7925" max="7926" width="2.7109375" style="234" customWidth="1"/>
    <col min="7927" max="7930" width="14.5703125" style="234"/>
    <col min="7931" max="7931" width="2.7109375" style="234" customWidth="1"/>
    <col min="7932" max="7932" width="48.28515625" style="234" customWidth="1"/>
    <col min="7933" max="7933" width="34.28515625" style="234" customWidth="1"/>
    <col min="7934" max="7934" width="24.28515625" style="234" customWidth="1"/>
    <col min="7935" max="7935" width="16.5703125" style="234" customWidth="1"/>
    <col min="7936" max="7937" width="3.42578125" style="234" customWidth="1"/>
    <col min="7938" max="7938" width="11.42578125" style="234" customWidth="1"/>
    <col min="7939" max="7939" width="21.42578125" style="234" customWidth="1"/>
    <col min="7940" max="8180" width="11.42578125" style="234" customWidth="1"/>
    <col min="8181" max="8182" width="2.7109375" style="234" customWidth="1"/>
    <col min="8183" max="8186" width="14.5703125" style="234"/>
    <col min="8187" max="8187" width="2.7109375" style="234" customWidth="1"/>
    <col min="8188" max="8188" width="48.28515625" style="234" customWidth="1"/>
    <col min="8189" max="8189" width="34.28515625" style="234" customWidth="1"/>
    <col min="8190" max="8190" width="24.28515625" style="234" customWidth="1"/>
    <col min="8191" max="8191" width="16.5703125" style="234" customWidth="1"/>
    <col min="8192" max="8193" width="3.42578125" style="234" customWidth="1"/>
    <col min="8194" max="8194" width="11.42578125" style="234" customWidth="1"/>
    <col min="8195" max="8195" width="21.42578125" style="234" customWidth="1"/>
    <col min="8196" max="8436" width="11.42578125" style="234" customWidth="1"/>
    <col min="8437" max="8438" width="2.7109375" style="234" customWidth="1"/>
    <col min="8439" max="8442" width="14.5703125" style="234"/>
    <col min="8443" max="8443" width="2.7109375" style="234" customWidth="1"/>
    <col min="8444" max="8444" width="48.28515625" style="234" customWidth="1"/>
    <col min="8445" max="8445" width="34.28515625" style="234" customWidth="1"/>
    <col min="8446" max="8446" width="24.28515625" style="234" customWidth="1"/>
    <col min="8447" max="8447" width="16.5703125" style="234" customWidth="1"/>
    <col min="8448" max="8449" width="3.42578125" style="234" customWidth="1"/>
    <col min="8450" max="8450" width="11.42578125" style="234" customWidth="1"/>
    <col min="8451" max="8451" width="21.42578125" style="234" customWidth="1"/>
    <col min="8452" max="8692" width="11.42578125" style="234" customWidth="1"/>
    <col min="8693" max="8694" width="2.7109375" style="234" customWidth="1"/>
    <col min="8695" max="8698" width="14.5703125" style="234"/>
    <col min="8699" max="8699" width="2.7109375" style="234" customWidth="1"/>
    <col min="8700" max="8700" width="48.28515625" style="234" customWidth="1"/>
    <col min="8701" max="8701" width="34.28515625" style="234" customWidth="1"/>
    <col min="8702" max="8702" width="24.28515625" style="234" customWidth="1"/>
    <col min="8703" max="8703" width="16.5703125" style="234" customWidth="1"/>
    <col min="8704" max="8705" width="3.42578125" style="234" customWidth="1"/>
    <col min="8706" max="8706" width="11.42578125" style="234" customWidth="1"/>
    <col min="8707" max="8707" width="21.42578125" style="234" customWidth="1"/>
    <col min="8708" max="8948" width="11.42578125" style="234" customWidth="1"/>
    <col min="8949" max="8950" width="2.7109375" style="234" customWidth="1"/>
    <col min="8951" max="8954" width="14.5703125" style="234"/>
    <col min="8955" max="8955" width="2.7109375" style="234" customWidth="1"/>
    <col min="8956" max="8956" width="48.28515625" style="234" customWidth="1"/>
    <col min="8957" max="8957" width="34.28515625" style="234" customWidth="1"/>
    <col min="8958" max="8958" width="24.28515625" style="234" customWidth="1"/>
    <col min="8959" max="8959" width="16.5703125" style="234" customWidth="1"/>
    <col min="8960" max="8961" width="3.42578125" style="234" customWidth="1"/>
    <col min="8962" max="8962" width="11.42578125" style="234" customWidth="1"/>
    <col min="8963" max="8963" width="21.42578125" style="234" customWidth="1"/>
    <col min="8964" max="9204" width="11.42578125" style="234" customWidth="1"/>
    <col min="9205" max="9206" width="2.7109375" style="234" customWidth="1"/>
    <col min="9207" max="9210" width="14.5703125" style="234"/>
    <col min="9211" max="9211" width="2.7109375" style="234" customWidth="1"/>
    <col min="9212" max="9212" width="48.28515625" style="234" customWidth="1"/>
    <col min="9213" max="9213" width="34.28515625" style="234" customWidth="1"/>
    <col min="9214" max="9214" width="24.28515625" style="234" customWidth="1"/>
    <col min="9215" max="9215" width="16.5703125" style="234" customWidth="1"/>
    <col min="9216" max="9217" width="3.42578125" style="234" customWidth="1"/>
    <col min="9218" max="9218" width="11.42578125" style="234" customWidth="1"/>
    <col min="9219" max="9219" width="21.42578125" style="234" customWidth="1"/>
    <col min="9220" max="9460" width="11.42578125" style="234" customWidth="1"/>
    <col min="9461" max="9462" width="2.7109375" style="234" customWidth="1"/>
    <col min="9463" max="9466" width="14.5703125" style="234"/>
    <col min="9467" max="9467" width="2.7109375" style="234" customWidth="1"/>
    <col min="9468" max="9468" width="48.28515625" style="234" customWidth="1"/>
    <col min="9469" max="9469" width="34.28515625" style="234" customWidth="1"/>
    <col min="9470" max="9470" width="24.28515625" style="234" customWidth="1"/>
    <col min="9471" max="9471" width="16.5703125" style="234" customWidth="1"/>
    <col min="9472" max="9473" width="3.42578125" style="234" customWidth="1"/>
    <col min="9474" max="9474" width="11.42578125" style="234" customWidth="1"/>
    <col min="9475" max="9475" width="21.42578125" style="234" customWidth="1"/>
    <col min="9476" max="9716" width="11.42578125" style="234" customWidth="1"/>
    <col min="9717" max="9718" width="2.7109375" style="234" customWidth="1"/>
    <col min="9719" max="9722" width="14.5703125" style="234"/>
    <col min="9723" max="9723" width="2.7109375" style="234" customWidth="1"/>
    <col min="9724" max="9724" width="48.28515625" style="234" customWidth="1"/>
    <col min="9725" max="9725" width="34.28515625" style="234" customWidth="1"/>
    <col min="9726" max="9726" width="24.28515625" style="234" customWidth="1"/>
    <col min="9727" max="9727" width="16.5703125" style="234" customWidth="1"/>
    <col min="9728" max="9729" width="3.42578125" style="234" customWidth="1"/>
    <col min="9730" max="9730" width="11.42578125" style="234" customWidth="1"/>
    <col min="9731" max="9731" width="21.42578125" style="234" customWidth="1"/>
    <col min="9732" max="9972" width="11.42578125" style="234" customWidth="1"/>
    <col min="9973" max="9974" width="2.7109375" style="234" customWidth="1"/>
    <col min="9975" max="9978" width="14.5703125" style="234"/>
    <col min="9979" max="9979" width="2.7109375" style="234" customWidth="1"/>
    <col min="9980" max="9980" width="48.28515625" style="234" customWidth="1"/>
    <col min="9981" max="9981" width="34.28515625" style="234" customWidth="1"/>
    <col min="9982" max="9982" width="24.28515625" style="234" customWidth="1"/>
    <col min="9983" max="9983" width="16.5703125" style="234" customWidth="1"/>
    <col min="9984" max="9985" width="3.42578125" style="234" customWidth="1"/>
    <col min="9986" max="9986" width="11.42578125" style="234" customWidth="1"/>
    <col min="9987" max="9987" width="21.42578125" style="234" customWidth="1"/>
    <col min="9988" max="10228" width="11.42578125" style="234" customWidth="1"/>
    <col min="10229" max="10230" width="2.7109375" style="234" customWidth="1"/>
    <col min="10231" max="10234" width="14.5703125" style="234"/>
    <col min="10235" max="10235" width="2.7109375" style="234" customWidth="1"/>
    <col min="10236" max="10236" width="48.28515625" style="234" customWidth="1"/>
    <col min="10237" max="10237" width="34.28515625" style="234" customWidth="1"/>
    <col min="10238" max="10238" width="24.28515625" style="234" customWidth="1"/>
    <col min="10239" max="10239" width="16.5703125" style="234" customWidth="1"/>
    <col min="10240" max="10241" width="3.42578125" style="234" customWidth="1"/>
    <col min="10242" max="10242" width="11.42578125" style="234" customWidth="1"/>
    <col min="10243" max="10243" width="21.42578125" style="234" customWidth="1"/>
    <col min="10244" max="10484" width="11.42578125" style="234" customWidth="1"/>
    <col min="10485" max="10486" width="2.7109375" style="234" customWidth="1"/>
    <col min="10487" max="10490" width="14.5703125" style="234"/>
    <col min="10491" max="10491" width="2.7109375" style="234" customWidth="1"/>
    <col min="10492" max="10492" width="48.28515625" style="234" customWidth="1"/>
    <col min="10493" max="10493" width="34.28515625" style="234" customWidth="1"/>
    <col min="10494" max="10494" width="24.28515625" style="234" customWidth="1"/>
    <col min="10495" max="10495" width="16.5703125" style="234" customWidth="1"/>
    <col min="10496" max="10497" width="3.42578125" style="234" customWidth="1"/>
    <col min="10498" max="10498" width="11.42578125" style="234" customWidth="1"/>
    <col min="10499" max="10499" width="21.42578125" style="234" customWidth="1"/>
    <col min="10500" max="10740" width="11.42578125" style="234" customWidth="1"/>
    <col min="10741" max="10742" width="2.7109375" style="234" customWidth="1"/>
    <col min="10743" max="10746" width="14.5703125" style="234"/>
    <col min="10747" max="10747" width="2.7109375" style="234" customWidth="1"/>
    <col min="10748" max="10748" width="48.28515625" style="234" customWidth="1"/>
    <col min="10749" max="10749" width="34.28515625" style="234" customWidth="1"/>
    <col min="10750" max="10750" width="24.28515625" style="234" customWidth="1"/>
    <col min="10751" max="10751" width="16.5703125" style="234" customWidth="1"/>
    <col min="10752" max="10753" width="3.42578125" style="234" customWidth="1"/>
    <col min="10754" max="10754" width="11.42578125" style="234" customWidth="1"/>
    <col min="10755" max="10755" width="21.42578125" style="234" customWidth="1"/>
    <col min="10756" max="10996" width="11.42578125" style="234" customWidth="1"/>
    <col min="10997" max="10998" width="2.7109375" style="234" customWidth="1"/>
    <col min="10999" max="11002" width="14.5703125" style="234"/>
    <col min="11003" max="11003" width="2.7109375" style="234" customWidth="1"/>
    <col min="11004" max="11004" width="48.28515625" style="234" customWidth="1"/>
    <col min="11005" max="11005" width="34.28515625" style="234" customWidth="1"/>
    <col min="11006" max="11006" width="24.28515625" style="234" customWidth="1"/>
    <col min="11007" max="11007" width="16.5703125" style="234" customWidth="1"/>
    <col min="11008" max="11009" width="3.42578125" style="234" customWidth="1"/>
    <col min="11010" max="11010" width="11.42578125" style="234" customWidth="1"/>
    <col min="11011" max="11011" width="21.42578125" style="234" customWidth="1"/>
    <col min="11012" max="11252" width="11.42578125" style="234" customWidth="1"/>
    <col min="11253" max="11254" width="2.7109375" style="234" customWidth="1"/>
    <col min="11255" max="11258" width="14.5703125" style="234"/>
    <col min="11259" max="11259" width="2.7109375" style="234" customWidth="1"/>
    <col min="11260" max="11260" width="48.28515625" style="234" customWidth="1"/>
    <col min="11261" max="11261" width="34.28515625" style="234" customWidth="1"/>
    <col min="11262" max="11262" width="24.28515625" style="234" customWidth="1"/>
    <col min="11263" max="11263" width="16.5703125" style="234" customWidth="1"/>
    <col min="11264" max="11265" width="3.42578125" style="234" customWidth="1"/>
    <col min="11266" max="11266" width="11.42578125" style="234" customWidth="1"/>
    <col min="11267" max="11267" width="21.42578125" style="234" customWidth="1"/>
    <col min="11268" max="11508" width="11.42578125" style="234" customWidth="1"/>
    <col min="11509" max="11510" width="2.7109375" style="234" customWidth="1"/>
    <col min="11511" max="11514" width="14.5703125" style="234"/>
    <col min="11515" max="11515" width="2.7109375" style="234" customWidth="1"/>
    <col min="11516" max="11516" width="48.28515625" style="234" customWidth="1"/>
    <col min="11517" max="11517" width="34.28515625" style="234" customWidth="1"/>
    <col min="11518" max="11518" width="24.28515625" style="234" customWidth="1"/>
    <col min="11519" max="11519" width="16.5703125" style="234" customWidth="1"/>
    <col min="11520" max="11521" width="3.42578125" style="234" customWidth="1"/>
    <col min="11522" max="11522" width="11.42578125" style="234" customWidth="1"/>
    <col min="11523" max="11523" width="21.42578125" style="234" customWidth="1"/>
    <col min="11524" max="11764" width="11.42578125" style="234" customWidth="1"/>
    <col min="11765" max="11766" width="2.7109375" style="234" customWidth="1"/>
    <col min="11767" max="11770" width="14.5703125" style="234"/>
    <col min="11771" max="11771" width="2.7109375" style="234" customWidth="1"/>
    <col min="11772" max="11772" width="48.28515625" style="234" customWidth="1"/>
    <col min="11773" max="11773" width="34.28515625" style="234" customWidth="1"/>
    <col min="11774" max="11774" width="24.28515625" style="234" customWidth="1"/>
    <col min="11775" max="11775" width="16.5703125" style="234" customWidth="1"/>
    <col min="11776" max="11777" width="3.42578125" style="234" customWidth="1"/>
    <col min="11778" max="11778" width="11.42578125" style="234" customWidth="1"/>
    <col min="11779" max="11779" width="21.42578125" style="234" customWidth="1"/>
    <col min="11780" max="12020" width="11.42578125" style="234" customWidth="1"/>
    <col min="12021" max="12022" width="2.7109375" style="234" customWidth="1"/>
    <col min="12023" max="12026" width="14.5703125" style="234"/>
    <col min="12027" max="12027" width="2.7109375" style="234" customWidth="1"/>
    <col min="12028" max="12028" width="48.28515625" style="234" customWidth="1"/>
    <col min="12029" max="12029" width="34.28515625" style="234" customWidth="1"/>
    <col min="12030" max="12030" width="24.28515625" style="234" customWidth="1"/>
    <col min="12031" max="12031" width="16.5703125" style="234" customWidth="1"/>
    <col min="12032" max="12033" width="3.42578125" style="234" customWidth="1"/>
    <col min="12034" max="12034" width="11.42578125" style="234" customWidth="1"/>
    <col min="12035" max="12035" width="21.42578125" style="234" customWidth="1"/>
    <col min="12036" max="12276" width="11.42578125" style="234" customWidth="1"/>
    <col min="12277" max="12278" width="2.7109375" style="234" customWidth="1"/>
    <col min="12279" max="12282" width="14.5703125" style="234"/>
    <col min="12283" max="12283" width="2.7109375" style="234" customWidth="1"/>
    <col min="12284" max="12284" width="48.28515625" style="234" customWidth="1"/>
    <col min="12285" max="12285" width="34.28515625" style="234" customWidth="1"/>
    <col min="12286" max="12286" width="24.28515625" style="234" customWidth="1"/>
    <col min="12287" max="12287" width="16.5703125" style="234" customWidth="1"/>
    <col min="12288" max="12289" width="3.42578125" style="234" customWidth="1"/>
    <col min="12290" max="12290" width="11.42578125" style="234" customWidth="1"/>
    <col min="12291" max="12291" width="21.42578125" style="234" customWidth="1"/>
    <col min="12292" max="12532" width="11.42578125" style="234" customWidth="1"/>
    <col min="12533" max="12534" width="2.7109375" style="234" customWidth="1"/>
    <col min="12535" max="12538" width="14.5703125" style="234"/>
    <col min="12539" max="12539" width="2.7109375" style="234" customWidth="1"/>
    <col min="12540" max="12540" width="48.28515625" style="234" customWidth="1"/>
    <col min="12541" max="12541" width="34.28515625" style="234" customWidth="1"/>
    <col min="12542" max="12542" width="24.28515625" style="234" customWidth="1"/>
    <col min="12543" max="12543" width="16.5703125" style="234" customWidth="1"/>
    <col min="12544" max="12545" width="3.42578125" style="234" customWidth="1"/>
    <col min="12546" max="12546" width="11.42578125" style="234" customWidth="1"/>
    <col min="12547" max="12547" width="21.42578125" style="234" customWidth="1"/>
    <col min="12548" max="12788" width="11.42578125" style="234" customWidth="1"/>
    <col min="12789" max="12790" width="2.7109375" style="234" customWidth="1"/>
    <col min="12791" max="12794" width="14.5703125" style="234"/>
    <col min="12795" max="12795" width="2.7109375" style="234" customWidth="1"/>
    <col min="12796" max="12796" width="48.28515625" style="234" customWidth="1"/>
    <col min="12797" max="12797" width="34.28515625" style="234" customWidth="1"/>
    <col min="12798" max="12798" width="24.28515625" style="234" customWidth="1"/>
    <col min="12799" max="12799" width="16.5703125" style="234" customWidth="1"/>
    <col min="12800" max="12801" width="3.42578125" style="234" customWidth="1"/>
    <col min="12802" max="12802" width="11.42578125" style="234" customWidth="1"/>
    <col min="12803" max="12803" width="21.42578125" style="234" customWidth="1"/>
    <col min="12804" max="13044" width="11.42578125" style="234" customWidth="1"/>
    <col min="13045" max="13046" width="2.7109375" style="234" customWidth="1"/>
    <col min="13047" max="13050" width="14.5703125" style="234"/>
    <col min="13051" max="13051" width="2.7109375" style="234" customWidth="1"/>
    <col min="13052" max="13052" width="48.28515625" style="234" customWidth="1"/>
    <col min="13053" max="13053" width="34.28515625" style="234" customWidth="1"/>
    <col min="13054" max="13054" width="24.28515625" style="234" customWidth="1"/>
    <col min="13055" max="13055" width="16.5703125" style="234" customWidth="1"/>
    <col min="13056" max="13057" width="3.42578125" style="234" customWidth="1"/>
    <col min="13058" max="13058" width="11.42578125" style="234" customWidth="1"/>
    <col min="13059" max="13059" width="21.42578125" style="234" customWidth="1"/>
    <col min="13060" max="13300" width="11.42578125" style="234" customWidth="1"/>
    <col min="13301" max="13302" width="2.7109375" style="234" customWidth="1"/>
    <col min="13303" max="13306" width="14.5703125" style="234"/>
    <col min="13307" max="13307" width="2.7109375" style="234" customWidth="1"/>
    <col min="13308" max="13308" width="48.28515625" style="234" customWidth="1"/>
    <col min="13309" max="13309" width="34.28515625" style="234" customWidth="1"/>
    <col min="13310" max="13310" width="24.28515625" style="234" customWidth="1"/>
    <col min="13311" max="13311" width="16.5703125" style="234" customWidth="1"/>
    <col min="13312" max="13313" width="3.42578125" style="234" customWidth="1"/>
    <col min="13314" max="13314" width="11.42578125" style="234" customWidth="1"/>
    <col min="13315" max="13315" width="21.42578125" style="234" customWidth="1"/>
    <col min="13316" max="13556" width="11.42578125" style="234" customWidth="1"/>
    <col min="13557" max="13558" width="2.7109375" style="234" customWidth="1"/>
    <col min="13559" max="13562" width="14.5703125" style="234"/>
    <col min="13563" max="13563" width="2.7109375" style="234" customWidth="1"/>
    <col min="13564" max="13564" width="48.28515625" style="234" customWidth="1"/>
    <col min="13565" max="13565" width="34.28515625" style="234" customWidth="1"/>
    <col min="13566" max="13566" width="24.28515625" style="234" customWidth="1"/>
    <col min="13567" max="13567" width="16.5703125" style="234" customWidth="1"/>
    <col min="13568" max="13569" width="3.42578125" style="234" customWidth="1"/>
    <col min="13570" max="13570" width="11.42578125" style="234" customWidth="1"/>
    <col min="13571" max="13571" width="21.42578125" style="234" customWidth="1"/>
    <col min="13572" max="13812" width="11.42578125" style="234" customWidth="1"/>
    <col min="13813" max="13814" width="2.7109375" style="234" customWidth="1"/>
    <col min="13815" max="13818" width="14.5703125" style="234"/>
    <col min="13819" max="13819" width="2.7109375" style="234" customWidth="1"/>
    <col min="13820" max="13820" width="48.28515625" style="234" customWidth="1"/>
    <col min="13821" max="13821" width="34.28515625" style="234" customWidth="1"/>
    <col min="13822" max="13822" width="24.28515625" style="234" customWidth="1"/>
    <col min="13823" max="13823" width="16.5703125" style="234" customWidth="1"/>
    <col min="13824" max="13825" width="3.42578125" style="234" customWidth="1"/>
    <col min="13826" max="13826" width="11.42578125" style="234" customWidth="1"/>
    <col min="13827" max="13827" width="21.42578125" style="234" customWidth="1"/>
    <col min="13828" max="14068" width="11.42578125" style="234" customWidth="1"/>
    <col min="14069" max="14070" width="2.7109375" style="234" customWidth="1"/>
    <col min="14071" max="14074" width="14.5703125" style="234"/>
    <col min="14075" max="14075" width="2.7109375" style="234" customWidth="1"/>
    <col min="14076" max="14076" width="48.28515625" style="234" customWidth="1"/>
    <col min="14077" max="14077" width="34.28515625" style="234" customWidth="1"/>
    <col min="14078" max="14078" width="24.28515625" style="234" customWidth="1"/>
    <col min="14079" max="14079" width="16.5703125" style="234" customWidth="1"/>
    <col min="14080" max="14081" width="3.42578125" style="234" customWidth="1"/>
    <col min="14082" max="14082" width="11.42578125" style="234" customWidth="1"/>
    <col min="14083" max="14083" width="21.42578125" style="234" customWidth="1"/>
    <col min="14084" max="14324" width="11.42578125" style="234" customWidth="1"/>
    <col min="14325" max="14326" width="2.7109375" style="234" customWidth="1"/>
    <col min="14327" max="14330" width="14.5703125" style="234"/>
    <col min="14331" max="14331" width="2.7109375" style="234" customWidth="1"/>
    <col min="14332" max="14332" width="48.28515625" style="234" customWidth="1"/>
    <col min="14333" max="14333" width="34.28515625" style="234" customWidth="1"/>
    <col min="14334" max="14334" width="24.28515625" style="234" customWidth="1"/>
    <col min="14335" max="14335" width="16.5703125" style="234" customWidth="1"/>
    <col min="14336" max="14337" width="3.42578125" style="234" customWidth="1"/>
    <col min="14338" max="14338" width="11.42578125" style="234" customWidth="1"/>
    <col min="14339" max="14339" width="21.42578125" style="234" customWidth="1"/>
    <col min="14340" max="14580" width="11.42578125" style="234" customWidth="1"/>
    <col min="14581" max="14582" width="2.7109375" style="234" customWidth="1"/>
    <col min="14583" max="14586" width="14.5703125" style="234"/>
    <col min="14587" max="14587" width="2.7109375" style="234" customWidth="1"/>
    <col min="14588" max="14588" width="48.28515625" style="234" customWidth="1"/>
    <col min="14589" max="14589" width="34.28515625" style="234" customWidth="1"/>
    <col min="14590" max="14590" width="24.28515625" style="234" customWidth="1"/>
    <col min="14591" max="14591" width="16.5703125" style="234" customWidth="1"/>
    <col min="14592" max="14593" width="3.42578125" style="234" customWidth="1"/>
    <col min="14594" max="14594" width="11.42578125" style="234" customWidth="1"/>
    <col min="14595" max="14595" width="21.42578125" style="234" customWidth="1"/>
    <col min="14596" max="14836" width="11.42578125" style="234" customWidth="1"/>
    <col min="14837" max="14838" width="2.7109375" style="234" customWidth="1"/>
    <col min="14839" max="14842" width="14.5703125" style="234"/>
    <col min="14843" max="14843" width="2.7109375" style="234" customWidth="1"/>
    <col min="14844" max="14844" width="48.28515625" style="234" customWidth="1"/>
    <col min="14845" max="14845" width="34.28515625" style="234" customWidth="1"/>
    <col min="14846" max="14846" width="24.28515625" style="234" customWidth="1"/>
    <col min="14847" max="14847" width="16.5703125" style="234" customWidth="1"/>
    <col min="14848" max="14849" width="3.42578125" style="234" customWidth="1"/>
    <col min="14850" max="14850" width="11.42578125" style="234" customWidth="1"/>
    <col min="14851" max="14851" width="21.42578125" style="234" customWidth="1"/>
    <col min="14852" max="15092" width="11.42578125" style="234" customWidth="1"/>
    <col min="15093" max="15094" width="2.7109375" style="234" customWidth="1"/>
    <col min="15095" max="15098" width="14.5703125" style="234"/>
    <col min="15099" max="15099" width="2.7109375" style="234" customWidth="1"/>
    <col min="15100" max="15100" width="48.28515625" style="234" customWidth="1"/>
    <col min="15101" max="15101" width="34.28515625" style="234" customWidth="1"/>
    <col min="15102" max="15102" width="24.28515625" style="234" customWidth="1"/>
    <col min="15103" max="15103" width="16.5703125" style="234" customWidth="1"/>
    <col min="15104" max="15105" width="3.42578125" style="234" customWidth="1"/>
    <col min="15106" max="15106" width="11.42578125" style="234" customWidth="1"/>
    <col min="15107" max="15107" width="21.42578125" style="234" customWidth="1"/>
    <col min="15108" max="15348" width="11.42578125" style="234" customWidth="1"/>
    <col min="15349" max="15350" width="2.7109375" style="234" customWidth="1"/>
    <col min="15351" max="15354" width="14.5703125" style="234"/>
    <col min="15355" max="15355" width="2.7109375" style="234" customWidth="1"/>
    <col min="15356" max="15356" width="48.28515625" style="234" customWidth="1"/>
    <col min="15357" max="15357" width="34.28515625" style="234" customWidth="1"/>
    <col min="15358" max="15358" width="24.28515625" style="234" customWidth="1"/>
    <col min="15359" max="15359" width="16.5703125" style="234" customWidth="1"/>
    <col min="15360" max="15361" width="3.42578125" style="234" customWidth="1"/>
    <col min="15362" max="15362" width="11.42578125" style="234" customWidth="1"/>
    <col min="15363" max="15363" width="21.42578125" style="234" customWidth="1"/>
    <col min="15364" max="15604" width="11.42578125" style="234" customWidth="1"/>
    <col min="15605" max="15606" width="2.7109375" style="234" customWidth="1"/>
    <col min="15607" max="15610" width="14.5703125" style="234"/>
    <col min="15611" max="15611" width="2.7109375" style="234" customWidth="1"/>
    <col min="15612" max="15612" width="48.28515625" style="234" customWidth="1"/>
    <col min="15613" max="15613" width="34.28515625" style="234" customWidth="1"/>
    <col min="15614" max="15614" width="24.28515625" style="234" customWidth="1"/>
    <col min="15615" max="15615" width="16.5703125" style="234" customWidth="1"/>
    <col min="15616" max="15617" width="3.42578125" style="234" customWidth="1"/>
    <col min="15618" max="15618" width="11.42578125" style="234" customWidth="1"/>
    <col min="15619" max="15619" width="21.42578125" style="234" customWidth="1"/>
    <col min="15620" max="15860" width="11.42578125" style="234" customWidth="1"/>
    <col min="15861" max="15862" width="2.7109375" style="234" customWidth="1"/>
    <col min="15863" max="15866" width="14.5703125" style="234"/>
    <col min="15867" max="15867" width="2.7109375" style="234" customWidth="1"/>
    <col min="15868" max="15868" width="48.28515625" style="234" customWidth="1"/>
    <col min="15869" max="15869" width="34.28515625" style="234" customWidth="1"/>
    <col min="15870" max="15870" width="24.28515625" style="234" customWidth="1"/>
    <col min="15871" max="15871" width="16.5703125" style="234" customWidth="1"/>
    <col min="15872" max="15873" width="3.42578125" style="234" customWidth="1"/>
    <col min="15874" max="15874" width="11.42578125" style="234" customWidth="1"/>
    <col min="15875" max="15875" width="21.42578125" style="234" customWidth="1"/>
    <col min="15876" max="16116" width="11.42578125" style="234" customWidth="1"/>
    <col min="16117" max="16118" width="2.7109375" style="234" customWidth="1"/>
    <col min="16119" max="16122" width="14.5703125" style="234"/>
    <col min="16123" max="16123" width="2.7109375" style="234" customWidth="1"/>
    <col min="16124" max="16124" width="48.28515625" style="234" customWidth="1"/>
    <col min="16125" max="16125" width="34.28515625" style="234" customWidth="1"/>
    <col min="16126" max="16126" width="24.28515625" style="234" customWidth="1"/>
    <col min="16127" max="16127" width="16.5703125" style="234" customWidth="1"/>
    <col min="16128" max="16129" width="3.42578125" style="234" customWidth="1"/>
    <col min="16130" max="16130" width="11.42578125" style="234" customWidth="1"/>
    <col min="16131" max="16131" width="21.42578125" style="234" customWidth="1"/>
    <col min="16132" max="16372" width="11.42578125" style="234" customWidth="1"/>
    <col min="16373" max="16374" width="2.7109375" style="234" customWidth="1"/>
    <col min="16375" max="16384" width="14.5703125" style="234"/>
  </cols>
  <sheetData>
    <row r="1" spans="1:8" ht="15.75" thickBot="1">
      <c r="A1" s="233"/>
    </row>
    <row r="2" spans="1:8" ht="22.5" customHeight="1" thickBot="1">
      <c r="A2" s="235"/>
      <c r="B2" s="356" t="s">
        <v>391</v>
      </c>
      <c r="C2" s="357"/>
      <c r="D2" s="357"/>
      <c r="E2" s="358"/>
      <c r="F2" s="241"/>
    </row>
    <row r="3" spans="1:8">
      <c r="A3" s="235"/>
      <c r="B3" s="359" t="s">
        <v>392</v>
      </c>
      <c r="C3" s="360"/>
      <c r="D3" s="241"/>
      <c r="E3" s="361"/>
      <c r="F3" s="241"/>
    </row>
    <row r="4" spans="1:8" ht="15.75" thickBot="1">
      <c r="A4" s="235"/>
      <c r="B4" s="359"/>
      <c r="C4" s="360"/>
      <c r="D4" s="241"/>
      <c r="E4" s="361"/>
      <c r="F4" s="241"/>
    </row>
    <row r="5" spans="1:8" ht="19.5" thickBot="1">
      <c r="A5" s="235"/>
      <c r="B5" s="362" t="s">
        <v>393</v>
      </c>
      <c r="C5" s="363"/>
      <c r="D5" s="241"/>
      <c r="E5" s="364">
        <f>+'balance 2022 final '!I67</f>
        <v>507832786.52380955</v>
      </c>
      <c r="F5" s="241"/>
    </row>
    <row r="6" spans="1:8" ht="16.5" thickBot="1">
      <c r="A6" s="235"/>
      <c r="B6" s="365" t="s">
        <v>394</v>
      </c>
      <c r="C6" s="366"/>
      <c r="D6" s="367"/>
      <c r="E6" s="364">
        <f>SUM(D7:D39)</f>
        <v>487132483.47619045</v>
      </c>
      <c r="F6" s="241"/>
      <c r="H6" s="240"/>
    </row>
    <row r="7" spans="1:8">
      <c r="A7" s="235"/>
      <c r="B7" s="368" t="s">
        <v>395</v>
      </c>
      <c r="C7" s="369" t="s">
        <v>396</v>
      </c>
      <c r="D7" s="370">
        <f>+'activo no corriente 2022 '!E24+'activo no corriente 2022 '!E66+'activo no corriente 2022 '!E108+'activo no corriente 2022 '!E135</f>
        <v>52125000</v>
      </c>
      <c r="E7" s="371"/>
      <c r="F7" s="241"/>
      <c r="H7" s="240"/>
    </row>
    <row r="8" spans="1:8" hidden="1">
      <c r="A8" s="235"/>
      <c r="B8" s="372" t="s">
        <v>397</v>
      </c>
      <c r="C8" s="369" t="s">
        <v>396</v>
      </c>
      <c r="D8" s="373"/>
      <c r="E8" s="371"/>
      <c r="F8" s="241"/>
    </row>
    <row r="9" spans="1:8">
      <c r="A9" s="235"/>
      <c r="B9" s="372" t="s">
        <v>539</v>
      </c>
      <c r="C9" s="369" t="s">
        <v>396</v>
      </c>
      <c r="D9" s="373">
        <v>3000000</v>
      </c>
      <c r="E9" s="371"/>
      <c r="F9" s="241"/>
    </row>
    <row r="10" spans="1:8">
      <c r="A10" s="235"/>
      <c r="B10" s="372" t="s">
        <v>398</v>
      </c>
      <c r="C10" s="369" t="s">
        <v>396</v>
      </c>
      <c r="D10" s="374">
        <f>+'balance 2022 antes de impuesto'!C42*6%</f>
        <v>6000000</v>
      </c>
      <c r="E10" s="371"/>
      <c r="F10" s="241"/>
    </row>
    <row r="11" spans="1:8">
      <c r="A11" s="235"/>
      <c r="B11" s="375" t="s">
        <v>536</v>
      </c>
      <c r="C11" s="369" t="s">
        <v>537</v>
      </c>
      <c r="D11" s="373">
        <f>+'balance 2022 antes de impuesto'!I43</f>
        <v>300000000</v>
      </c>
      <c r="E11" s="371"/>
      <c r="F11" s="241"/>
    </row>
    <row r="12" spans="1:8">
      <c r="A12" s="235"/>
      <c r="B12" s="375" t="s">
        <v>530</v>
      </c>
      <c r="C12" s="369" t="s">
        <v>528</v>
      </c>
      <c r="D12" s="373">
        <f>+'balance 2022 antes de impuesto'!I49*1.111</f>
        <v>3966270</v>
      </c>
      <c r="E12" s="371"/>
      <c r="F12" s="241"/>
    </row>
    <row r="13" spans="1:8" hidden="1">
      <c r="A13" s="235"/>
      <c r="B13" s="375"/>
      <c r="C13" s="369" t="s">
        <v>400</v>
      </c>
      <c r="D13" s="373"/>
      <c r="E13" s="371"/>
      <c r="F13" s="241"/>
    </row>
    <row r="14" spans="1:8" hidden="1">
      <c r="A14" s="235"/>
      <c r="B14" s="375" t="s">
        <v>401</v>
      </c>
      <c r="C14" s="369" t="s">
        <v>314</v>
      </c>
      <c r="D14" s="373"/>
      <c r="E14" s="371"/>
      <c r="F14" s="241"/>
    </row>
    <row r="15" spans="1:8" hidden="1">
      <c r="A15" s="235"/>
      <c r="B15" s="375" t="s">
        <v>402</v>
      </c>
      <c r="C15" s="369" t="s">
        <v>314</v>
      </c>
      <c r="D15" s="373"/>
      <c r="E15" s="371"/>
      <c r="F15" s="241"/>
    </row>
    <row r="16" spans="1:8" hidden="1">
      <c r="A16" s="235"/>
      <c r="B16" s="375" t="s">
        <v>403</v>
      </c>
      <c r="C16" s="369" t="s">
        <v>314</v>
      </c>
      <c r="D16" s="373"/>
      <c r="E16" s="371"/>
      <c r="F16" s="241"/>
    </row>
    <row r="17" spans="1:6">
      <c r="A17" s="235"/>
      <c r="B17" s="375" t="s">
        <v>404</v>
      </c>
      <c r="C17" s="369" t="s">
        <v>314</v>
      </c>
      <c r="D17" s="373">
        <f>+'balance 2022 antes de impuesto'!I53*1</f>
        <v>2800000</v>
      </c>
      <c r="E17" s="371"/>
      <c r="F17" s="241"/>
    </row>
    <row r="18" spans="1:6" hidden="1">
      <c r="A18" s="235"/>
      <c r="B18" s="375" t="s">
        <v>405</v>
      </c>
      <c r="C18" s="369" t="s">
        <v>314</v>
      </c>
      <c r="D18" s="373"/>
      <c r="E18" s="371"/>
      <c r="F18" s="241"/>
    </row>
    <row r="19" spans="1:6">
      <c r="A19" s="235"/>
      <c r="B19" s="375" t="s">
        <v>406</v>
      </c>
      <c r="C19" s="369" t="s">
        <v>407</v>
      </c>
      <c r="D19" s="373">
        <f>+'balance 2022 antes de impuesto'!I60</f>
        <v>6880952.3809523806</v>
      </c>
      <c r="E19" s="371"/>
      <c r="F19" s="241"/>
    </row>
    <row r="20" spans="1:6" hidden="1">
      <c r="A20" s="235"/>
      <c r="B20" s="375" t="s">
        <v>408</v>
      </c>
      <c r="C20" s="369" t="s">
        <v>407</v>
      </c>
      <c r="D20" s="373"/>
      <c r="E20" s="371"/>
      <c r="F20" s="241"/>
    </row>
    <row r="21" spans="1:6">
      <c r="A21" s="235"/>
      <c r="B21" s="375" t="s">
        <v>409</v>
      </c>
      <c r="C21" s="369" t="s">
        <v>410</v>
      </c>
      <c r="D21" s="373">
        <f>+'balance 2022 antes de impuesto'!I54</f>
        <v>9000000</v>
      </c>
      <c r="E21" s="371"/>
      <c r="F21" s="241"/>
    </row>
    <row r="22" spans="1:6">
      <c r="A22" s="235"/>
      <c r="B22" s="375" t="s">
        <v>540</v>
      </c>
      <c r="C22" s="369" t="s">
        <v>541</v>
      </c>
      <c r="D22" s="373">
        <f>+'balance 2022 antes de impuesto'!I48</f>
        <v>2016666.6666666665</v>
      </c>
      <c r="E22" s="371"/>
      <c r="F22" s="241"/>
    </row>
    <row r="23" spans="1:6" hidden="1">
      <c r="A23" s="235"/>
      <c r="B23" s="375" t="s">
        <v>411</v>
      </c>
      <c r="C23" s="369" t="s">
        <v>412</v>
      </c>
      <c r="D23" s="373"/>
      <c r="E23" s="371"/>
      <c r="F23" s="241"/>
    </row>
    <row r="24" spans="1:6" hidden="1">
      <c r="A24" s="235"/>
      <c r="B24" s="375" t="s">
        <v>413</v>
      </c>
      <c r="C24" s="369" t="s">
        <v>414</v>
      </c>
      <c r="D24" s="373"/>
      <c r="E24" s="371"/>
      <c r="F24" s="241"/>
    </row>
    <row r="25" spans="1:6" hidden="1">
      <c r="A25" s="235"/>
      <c r="B25" s="375" t="s">
        <v>415</v>
      </c>
      <c r="C25" s="369" t="s">
        <v>416</v>
      </c>
      <c r="D25" s="373"/>
      <c r="E25" s="371"/>
      <c r="F25" s="241"/>
    </row>
    <row r="26" spans="1:6" hidden="1">
      <c r="A26" s="235"/>
      <c r="B26" s="375" t="s">
        <v>417</v>
      </c>
      <c r="C26" s="369" t="s">
        <v>416</v>
      </c>
      <c r="D26" s="373"/>
      <c r="E26" s="371"/>
      <c r="F26" s="241"/>
    </row>
    <row r="27" spans="1:6">
      <c r="A27" s="235"/>
      <c r="B27" s="375" t="s">
        <v>527</v>
      </c>
      <c r="C27" s="369" t="s">
        <v>416</v>
      </c>
      <c r="D27" s="374">
        <f>+'balance 2022 final '!I50</f>
        <v>99757086.428571433</v>
      </c>
      <c r="E27" s="371"/>
      <c r="F27" s="241"/>
    </row>
    <row r="28" spans="1:6" ht="15.75" thickBot="1">
      <c r="A28" s="235"/>
      <c r="B28" s="375" t="s">
        <v>529</v>
      </c>
      <c r="C28" s="369" t="s">
        <v>416</v>
      </c>
      <c r="D28" s="374">
        <f>+'balance 2022 final '!I51</f>
        <v>1586508</v>
      </c>
      <c r="E28" s="371"/>
      <c r="F28" s="241"/>
    </row>
    <row r="29" spans="1:6" hidden="1">
      <c r="A29" s="235"/>
      <c r="B29" s="375" t="s">
        <v>418</v>
      </c>
      <c r="C29" s="369" t="s">
        <v>416</v>
      </c>
      <c r="D29" s="373"/>
      <c r="E29" s="371"/>
      <c r="F29" s="241"/>
    </row>
    <row r="30" spans="1:6" hidden="1">
      <c r="A30" s="235"/>
      <c r="B30" s="375"/>
      <c r="C30" s="369" t="s">
        <v>416</v>
      </c>
      <c r="D30" s="373"/>
      <c r="E30" s="371"/>
      <c r="F30" s="241"/>
    </row>
    <row r="31" spans="1:6" hidden="1">
      <c r="A31" s="235"/>
      <c r="B31" s="375"/>
      <c r="C31" s="369" t="s">
        <v>416</v>
      </c>
      <c r="D31" s="373"/>
      <c r="E31" s="371"/>
      <c r="F31" s="241"/>
    </row>
    <row r="32" spans="1:6" hidden="1">
      <c r="A32" s="235"/>
      <c r="B32" s="375" t="s">
        <v>419</v>
      </c>
      <c r="C32" s="369" t="s">
        <v>416</v>
      </c>
      <c r="D32" s="373"/>
      <c r="E32" s="371"/>
      <c r="F32" s="241"/>
    </row>
    <row r="33" spans="1:6" hidden="1">
      <c r="A33" s="235"/>
      <c r="B33" s="375"/>
      <c r="C33" s="369" t="s">
        <v>416</v>
      </c>
      <c r="D33" s="373"/>
      <c r="E33" s="371"/>
      <c r="F33" s="241"/>
    </row>
    <row r="34" spans="1:6" hidden="1">
      <c r="A34" s="235"/>
      <c r="B34" s="375"/>
      <c r="C34" s="369" t="s">
        <v>416</v>
      </c>
      <c r="D34" s="373"/>
      <c r="E34" s="371"/>
      <c r="F34" s="241"/>
    </row>
    <row r="35" spans="1:6" hidden="1">
      <c r="A35" s="235"/>
      <c r="B35" s="375"/>
      <c r="C35" s="369" t="s">
        <v>420</v>
      </c>
      <c r="D35" s="373"/>
      <c r="E35" s="371"/>
      <c r="F35" s="241"/>
    </row>
    <row r="36" spans="1:6" hidden="1">
      <c r="A36" s="235"/>
      <c r="B36" s="372"/>
      <c r="C36" s="369" t="s">
        <v>421</v>
      </c>
      <c r="D36" s="373"/>
      <c r="E36" s="371"/>
      <c r="F36" s="241"/>
    </row>
    <row r="37" spans="1:6" hidden="1">
      <c r="A37" s="235"/>
      <c r="B37" s="372"/>
      <c r="C37" s="369" t="s">
        <v>422</v>
      </c>
      <c r="D37" s="373"/>
      <c r="E37" s="371"/>
      <c r="F37" s="241"/>
    </row>
    <row r="38" spans="1:6" hidden="1">
      <c r="A38" s="235"/>
      <c r="B38" s="372"/>
      <c r="C38" s="369" t="s">
        <v>423</v>
      </c>
      <c r="D38" s="373"/>
      <c r="E38" s="371"/>
      <c r="F38" s="241"/>
    </row>
    <row r="39" spans="1:6" ht="15.75" hidden="1" thickBot="1">
      <c r="A39" s="235"/>
      <c r="B39" s="372"/>
      <c r="C39" s="376" t="s">
        <v>424</v>
      </c>
      <c r="D39" s="373"/>
      <c r="E39" s="371"/>
      <c r="F39" s="241"/>
    </row>
    <row r="40" spans="1:6" ht="16.5" thickBot="1">
      <c r="A40" s="235"/>
      <c r="B40" s="365" t="s">
        <v>425</v>
      </c>
      <c r="C40" s="366"/>
      <c r="D40" s="377"/>
      <c r="E40" s="364">
        <f>-SUM(D41:D63)</f>
        <v>-379032039.23076922</v>
      </c>
      <c r="F40" s="241"/>
    </row>
    <row r="41" spans="1:6">
      <c r="A41" s="235"/>
      <c r="B41" s="547" t="s">
        <v>426</v>
      </c>
      <c r="C41" s="548" t="s">
        <v>427</v>
      </c>
      <c r="D41" s="378">
        <v>0</v>
      </c>
      <c r="E41" s="371"/>
      <c r="F41" s="241"/>
    </row>
    <row r="42" spans="1:6">
      <c r="A42" s="235"/>
      <c r="B42" s="379" t="s">
        <v>428</v>
      </c>
      <c r="C42" s="380" t="s">
        <v>427</v>
      </c>
      <c r="D42" s="381">
        <f>+'[13]ACTIVO FIJO'!L20</f>
        <v>0</v>
      </c>
      <c r="E42" s="371"/>
      <c r="F42" s="241"/>
    </row>
    <row r="43" spans="1:6">
      <c r="A43" s="235"/>
      <c r="B43" s="379" t="s">
        <v>429</v>
      </c>
      <c r="C43" s="380" t="s">
        <v>427</v>
      </c>
      <c r="D43" s="381">
        <f>+'R14 AT2023'!S9</f>
        <v>12960000.000000015</v>
      </c>
      <c r="E43" s="371"/>
      <c r="F43" s="241"/>
    </row>
    <row r="44" spans="1:6">
      <c r="A44" s="235"/>
      <c r="B44" s="379" t="s">
        <v>538</v>
      </c>
      <c r="C44" s="380" t="s">
        <v>310</v>
      </c>
      <c r="D44" s="381">
        <f>+'costo existencias'!F12</f>
        <v>330000000</v>
      </c>
      <c r="E44" s="371"/>
      <c r="F44" s="241"/>
    </row>
    <row r="45" spans="1:6" hidden="1">
      <c r="A45" s="235"/>
      <c r="B45" s="379"/>
      <c r="C45" s="380" t="s">
        <v>430</v>
      </c>
      <c r="D45" s="381"/>
      <c r="E45" s="382"/>
      <c r="F45" s="241"/>
    </row>
    <row r="46" spans="1:6" hidden="1">
      <c r="A46" s="235"/>
      <c r="B46" s="383" t="s">
        <v>431</v>
      </c>
      <c r="C46" s="380" t="s">
        <v>432</v>
      </c>
      <c r="D46" s="381"/>
      <c r="E46" s="382"/>
      <c r="F46" s="241"/>
    </row>
    <row r="47" spans="1:6" hidden="1">
      <c r="A47" s="235"/>
      <c r="B47" s="379"/>
      <c r="C47" s="380" t="s">
        <v>433</v>
      </c>
      <c r="D47" s="381"/>
      <c r="E47" s="382"/>
      <c r="F47" s="241"/>
    </row>
    <row r="48" spans="1:6">
      <c r="A48" s="235"/>
      <c r="B48" s="549" t="s">
        <v>434</v>
      </c>
      <c r="C48" s="380" t="s">
        <v>435</v>
      </c>
      <c r="D48" s="384">
        <f>+'activo no corriente 2022 '!I42+'activo no corriente 2022 '!I84+'activo no corriente 2022 '!I153</f>
        <v>32105769.230769232</v>
      </c>
      <c r="E48" s="382"/>
      <c r="F48" s="241"/>
    </row>
    <row r="49" spans="1:6" hidden="1">
      <c r="A49" s="235"/>
      <c r="B49" s="549"/>
      <c r="C49" s="380" t="s">
        <v>436</v>
      </c>
      <c r="D49" s="381"/>
      <c r="E49" s="382"/>
      <c r="F49" s="241"/>
    </row>
    <row r="50" spans="1:6" hidden="1">
      <c r="A50" s="235"/>
      <c r="B50" s="549"/>
      <c r="C50" s="380" t="s">
        <v>437</v>
      </c>
      <c r="D50" s="381"/>
      <c r="E50" s="382"/>
      <c r="F50" s="241"/>
    </row>
    <row r="51" spans="1:6" ht="15.75" thickBot="1">
      <c r="A51" s="235"/>
      <c r="B51" s="550" t="s">
        <v>418</v>
      </c>
      <c r="C51" s="380" t="s">
        <v>438</v>
      </c>
      <c r="D51" s="384">
        <f>+D12</f>
        <v>3966270</v>
      </c>
      <c r="E51" s="382"/>
      <c r="F51" s="241"/>
    </row>
    <row r="52" spans="1:6" hidden="1">
      <c r="A52" s="235"/>
      <c r="B52" s="550" t="s">
        <v>399</v>
      </c>
      <c r="C52" s="380" t="s">
        <v>438</v>
      </c>
      <c r="D52" s="384"/>
      <c r="E52" s="382"/>
      <c r="F52" s="241"/>
    </row>
    <row r="53" spans="1:6" hidden="1">
      <c r="A53" s="235"/>
      <c r="B53" s="549"/>
      <c r="C53" s="380" t="s">
        <v>438</v>
      </c>
      <c r="D53" s="384">
        <f t="shared" ref="D53:D56" si="0">+D31</f>
        <v>0</v>
      </c>
      <c r="E53" s="382"/>
      <c r="F53" s="241"/>
    </row>
    <row r="54" spans="1:6" hidden="1">
      <c r="A54" s="235"/>
      <c r="B54" s="550" t="s">
        <v>419</v>
      </c>
      <c r="C54" s="380" t="s">
        <v>439</v>
      </c>
      <c r="D54" s="384">
        <f t="shared" si="0"/>
        <v>0</v>
      </c>
      <c r="E54" s="382"/>
      <c r="F54" s="241"/>
    </row>
    <row r="55" spans="1:6" hidden="1">
      <c r="A55" s="235"/>
      <c r="B55" s="549"/>
      <c r="C55" s="380" t="s">
        <v>439</v>
      </c>
      <c r="D55" s="384">
        <f t="shared" si="0"/>
        <v>0</v>
      </c>
      <c r="E55" s="382"/>
      <c r="F55" s="241"/>
    </row>
    <row r="56" spans="1:6" hidden="1">
      <c r="A56" s="235"/>
      <c r="B56" s="549"/>
      <c r="C56" s="380" t="s">
        <v>439</v>
      </c>
      <c r="D56" s="384">
        <f t="shared" si="0"/>
        <v>0</v>
      </c>
      <c r="E56" s="382"/>
      <c r="F56" s="241"/>
    </row>
    <row r="57" spans="1:6" hidden="1">
      <c r="A57" s="235"/>
      <c r="B57" s="379" t="s">
        <v>440</v>
      </c>
      <c r="C57" s="380" t="s">
        <v>441</v>
      </c>
      <c r="D57" s="381"/>
      <c r="E57" s="382"/>
      <c r="F57" s="241"/>
    </row>
    <row r="58" spans="1:6" hidden="1">
      <c r="A58" s="235"/>
      <c r="B58" s="379"/>
      <c r="C58" s="380" t="s">
        <v>442</v>
      </c>
      <c r="D58" s="381"/>
      <c r="E58" s="382"/>
      <c r="F58" s="241"/>
    </row>
    <row r="59" spans="1:6" hidden="1">
      <c r="A59" s="235"/>
      <c r="B59" s="383" t="s">
        <v>443</v>
      </c>
      <c r="C59" s="380" t="s">
        <v>444</v>
      </c>
      <c r="D59" s="381"/>
      <c r="E59" s="382"/>
      <c r="F59" s="241"/>
    </row>
    <row r="60" spans="1:6" hidden="1">
      <c r="A60" s="235"/>
      <c r="B60" s="379"/>
      <c r="C60" s="380" t="s">
        <v>445</v>
      </c>
      <c r="D60" s="381"/>
      <c r="E60" s="382"/>
      <c r="F60" s="241"/>
    </row>
    <row r="61" spans="1:6" hidden="1">
      <c r="A61" s="235"/>
      <c r="B61" s="379"/>
      <c r="C61" s="380" t="s">
        <v>446</v>
      </c>
      <c r="D61" s="381"/>
      <c r="E61" s="382"/>
      <c r="F61" s="241"/>
    </row>
    <row r="62" spans="1:6" hidden="1">
      <c r="A62" s="235"/>
      <c r="B62" s="385" t="s">
        <v>447</v>
      </c>
      <c r="C62" s="380" t="s">
        <v>448</v>
      </c>
      <c r="D62" s="381"/>
      <c r="E62" s="382"/>
      <c r="F62" s="241"/>
    </row>
    <row r="63" spans="1:6" ht="15.75" hidden="1" thickBot="1">
      <c r="A63" s="235"/>
      <c r="B63" s="386" t="s">
        <v>449</v>
      </c>
      <c r="C63" s="387" t="s">
        <v>450</v>
      </c>
      <c r="D63" s="381"/>
      <c r="E63" s="382"/>
      <c r="F63" s="241"/>
    </row>
    <row r="64" spans="1:6" ht="15.75" thickBot="1">
      <c r="A64" s="235"/>
      <c r="B64" s="388" t="s">
        <v>108</v>
      </c>
      <c r="C64" s="389"/>
      <c r="D64" s="390"/>
      <c r="E64" s="391">
        <f>+E5+E6+E40</f>
        <v>615933230.76923084</v>
      </c>
      <c r="F64" s="241"/>
    </row>
    <row r="65" spans="1:6" ht="16.5" thickBot="1">
      <c r="A65" s="235"/>
      <c r="B65" s="251" t="s">
        <v>326</v>
      </c>
      <c r="C65" s="252"/>
      <c r="D65" s="241"/>
      <c r="E65" s="391">
        <f>-D71</f>
        <v>-253566615.38461542</v>
      </c>
      <c r="F65" s="241"/>
    </row>
    <row r="66" spans="1:6" ht="15.75">
      <c r="A66" s="235"/>
      <c r="B66" s="253" t="s">
        <v>327</v>
      </c>
      <c r="C66" s="254"/>
      <c r="D66" s="241"/>
      <c r="E66" s="371"/>
      <c r="F66" s="241"/>
    </row>
    <row r="67" spans="1:6">
      <c r="A67" s="235"/>
      <c r="B67" s="255" t="s">
        <v>328</v>
      </c>
      <c r="C67" s="256"/>
      <c r="D67" s="257">
        <f>+E64</f>
        <v>615933230.76923084</v>
      </c>
      <c r="E67" s="371"/>
      <c r="F67" s="241"/>
    </row>
    <row r="68" spans="1:6">
      <c r="A68" s="235"/>
      <c r="B68" s="258" t="s">
        <v>443</v>
      </c>
      <c r="C68" s="259"/>
      <c r="D68" s="260">
        <f>+'balance 2022 antes de impuesto'!C42+'RLI AT 2023 FINAL '!D10</f>
        <v>106000000</v>
      </c>
      <c r="E68" s="371"/>
      <c r="F68" s="241"/>
    </row>
    <row r="69" spans="1:6">
      <c r="A69" s="235"/>
      <c r="B69" s="258" t="s">
        <v>329</v>
      </c>
      <c r="C69" s="259"/>
      <c r="D69" s="260">
        <f>+D17</f>
        <v>2800000</v>
      </c>
      <c r="E69" s="371"/>
      <c r="F69" s="241"/>
    </row>
    <row r="70" spans="1:6">
      <c r="A70" s="235"/>
      <c r="B70" s="255" t="s">
        <v>330</v>
      </c>
      <c r="C70" s="261"/>
      <c r="D70" s="257">
        <f>+D67-D68-D69</f>
        <v>507133230.76923084</v>
      </c>
      <c r="E70" s="371"/>
      <c r="F70" s="241"/>
    </row>
    <row r="71" spans="1:6" ht="15.75" thickBot="1">
      <c r="A71" s="235"/>
      <c r="B71" s="262">
        <v>0.5</v>
      </c>
      <c r="C71" s="263"/>
      <c r="D71" s="264">
        <f>+D70/2</f>
        <v>253566615.38461542</v>
      </c>
      <c r="E71" s="371"/>
      <c r="F71" s="241"/>
    </row>
    <row r="72" spans="1:6" ht="15.75" thickBot="1">
      <c r="A72" s="235"/>
      <c r="B72" s="388" t="s">
        <v>108</v>
      </c>
      <c r="C72" s="392"/>
      <c r="D72" s="390"/>
      <c r="E72" s="391">
        <f>+E64+E65</f>
        <v>362366615.38461542</v>
      </c>
      <c r="F72" s="241"/>
    </row>
    <row r="73" spans="1:6" ht="16.5" thickBot="1">
      <c r="A73" s="235"/>
      <c r="B73" s="393" t="s">
        <v>451</v>
      </c>
      <c r="C73" s="394"/>
      <c r="D73" s="395"/>
      <c r="E73" s="396">
        <f>+D75</f>
        <v>0</v>
      </c>
      <c r="F73" s="241"/>
    </row>
    <row r="74" spans="1:6" ht="15.75">
      <c r="A74" s="235"/>
      <c r="B74" s="397" t="s">
        <v>452</v>
      </c>
      <c r="C74" s="398"/>
      <c r="D74" s="241"/>
      <c r="E74" s="399"/>
      <c r="F74" s="241"/>
    </row>
    <row r="75" spans="1:6">
      <c r="A75" s="235"/>
      <c r="B75" s="255" t="s">
        <v>453</v>
      </c>
      <c r="C75" s="256"/>
      <c r="D75" s="260"/>
      <c r="E75" s="399"/>
      <c r="F75" s="241"/>
    </row>
    <row r="76" spans="1:6">
      <c r="A76" s="235"/>
      <c r="B76" s="400" t="s">
        <v>454</v>
      </c>
      <c r="C76" s="401"/>
      <c r="D76" s="257">
        <f>+E72</f>
        <v>362366615.38461542</v>
      </c>
      <c r="E76" s="399"/>
      <c r="F76" s="241"/>
    </row>
    <row r="77" spans="1:6">
      <c r="A77" s="235"/>
      <c r="B77" s="255" t="s">
        <v>455</v>
      </c>
      <c r="C77" s="402"/>
      <c r="D77" s="260"/>
      <c r="E77" s="399"/>
      <c r="F77" s="241"/>
    </row>
    <row r="78" spans="1:6" ht="16.5" thickBot="1">
      <c r="A78" s="235"/>
      <c r="B78" s="397"/>
      <c r="C78" s="398"/>
      <c r="D78" s="241"/>
      <c r="E78" s="399"/>
      <c r="F78" s="241"/>
    </row>
    <row r="79" spans="1:6" ht="15.75" thickBot="1">
      <c r="A79" s="235"/>
      <c r="B79" s="403" t="s">
        <v>108</v>
      </c>
      <c r="C79" s="404"/>
      <c r="D79" s="241"/>
      <c r="E79" s="391">
        <f>+E72-E73</f>
        <v>362366615.38461542</v>
      </c>
      <c r="F79" s="241"/>
    </row>
    <row r="80" spans="1:6" ht="16.5" thickBot="1">
      <c r="A80" s="235"/>
      <c r="B80" s="393" t="s">
        <v>456</v>
      </c>
      <c r="C80" s="394"/>
      <c r="D80" s="241"/>
      <c r="E80" s="391">
        <f>+C90</f>
        <v>0</v>
      </c>
      <c r="F80" s="241"/>
    </row>
    <row r="81" spans="1:8" ht="16.5" hidden="1" thickBot="1">
      <c r="A81" s="235"/>
      <c r="B81" s="393"/>
      <c r="C81" s="394"/>
      <c r="D81" s="241"/>
      <c r="E81" s="382"/>
      <c r="F81" s="241"/>
    </row>
    <row r="82" spans="1:8" ht="16.5" hidden="1" thickBot="1">
      <c r="A82" s="235"/>
      <c r="B82" s="393" t="s">
        <v>457</v>
      </c>
      <c r="C82" s="405"/>
      <c r="D82" s="406"/>
      <c r="E82" s="382"/>
      <c r="F82" s="241"/>
    </row>
    <row r="83" spans="1:8" ht="15.75" hidden="1" thickBot="1">
      <c r="A83" s="235"/>
      <c r="B83" s="407" t="s">
        <v>458</v>
      </c>
      <c r="C83" s="408"/>
      <c r="D83" s="406"/>
      <c r="E83" s="382"/>
      <c r="F83" s="241"/>
    </row>
    <row r="84" spans="1:8" ht="15.75" hidden="1" thickBot="1">
      <c r="A84" s="235"/>
      <c r="B84" s="409" t="s">
        <v>459</v>
      </c>
      <c r="C84" s="408">
        <f>+C83*0.33333</f>
        <v>0</v>
      </c>
      <c r="D84" s="406"/>
      <c r="E84" s="382"/>
      <c r="F84" s="241"/>
    </row>
    <row r="85" spans="1:8" ht="15.75" hidden="1" thickBot="1">
      <c r="A85" s="235"/>
      <c r="B85" s="409" t="s">
        <v>460</v>
      </c>
      <c r="C85" s="408">
        <f>+C83+C84</f>
        <v>0</v>
      </c>
      <c r="D85" s="406"/>
      <c r="E85" s="382"/>
      <c r="F85" s="241"/>
    </row>
    <row r="86" spans="1:8" ht="15.75" hidden="1" thickBot="1">
      <c r="A86" s="235"/>
      <c r="B86" s="409" t="s">
        <v>461</v>
      </c>
      <c r="C86" s="408"/>
      <c r="D86" s="406"/>
      <c r="E86" s="382"/>
      <c r="F86" s="241"/>
    </row>
    <row r="87" spans="1:8" ht="15.75" hidden="1" thickBot="1">
      <c r="A87" s="235"/>
      <c r="B87" s="409" t="s">
        <v>462</v>
      </c>
      <c r="C87" s="408">
        <f>-C82*90%</f>
        <v>0</v>
      </c>
      <c r="D87" s="406"/>
      <c r="E87" s="382"/>
      <c r="F87" s="241"/>
    </row>
    <row r="88" spans="1:8" ht="15.75" hidden="1" thickBot="1">
      <c r="A88" s="235"/>
      <c r="B88" s="409" t="s">
        <v>463</v>
      </c>
      <c r="C88" s="410">
        <f>+C82+C87</f>
        <v>0</v>
      </c>
      <c r="D88" s="233"/>
      <c r="E88" s="382"/>
      <c r="F88" s="241"/>
    </row>
    <row r="89" spans="1:8" ht="18" hidden="1" customHeight="1">
      <c r="A89" s="235"/>
      <c r="B89" s="411" t="s">
        <v>464</v>
      </c>
      <c r="C89" s="233"/>
      <c r="D89" s="233"/>
      <c r="E89" s="382"/>
      <c r="F89" s="241"/>
    </row>
    <row r="90" spans="1:8" ht="18" hidden="1" customHeight="1" thickBot="1">
      <c r="A90" s="235"/>
      <c r="B90" s="407" t="s">
        <v>465</v>
      </c>
      <c r="C90" s="412">
        <f>-C82+C88</f>
        <v>0</v>
      </c>
      <c r="D90" s="233"/>
      <c r="E90" s="382"/>
      <c r="F90" s="241"/>
    </row>
    <row r="91" spans="1:8" ht="18" hidden="1" customHeight="1" thickBot="1">
      <c r="A91" s="235"/>
      <c r="B91" s="235" t="s">
        <v>466</v>
      </c>
      <c r="C91" s="364">
        <f>+C90*25%</f>
        <v>0</v>
      </c>
      <c r="D91" s="233"/>
      <c r="E91" s="382"/>
      <c r="F91" s="241"/>
    </row>
    <row r="92" spans="1:8" ht="15.75" hidden="1" thickBot="1">
      <c r="A92" s="235"/>
      <c r="B92" s="235" t="s">
        <v>467</v>
      </c>
      <c r="C92" s="364">
        <f>+C84-C91</f>
        <v>0</v>
      </c>
      <c r="D92" s="233"/>
      <c r="E92" s="382"/>
      <c r="F92" s="241"/>
    </row>
    <row r="93" spans="1:8" ht="16.5" thickBot="1">
      <c r="A93" s="235"/>
      <c r="B93" s="253" t="s">
        <v>468</v>
      </c>
      <c r="C93" s="254"/>
      <c r="D93" s="241"/>
      <c r="E93" s="391">
        <f>+E79-E80</f>
        <v>362366615.38461542</v>
      </c>
      <c r="F93" s="241"/>
    </row>
    <row r="94" spans="1:8" ht="15.75" thickBot="1">
      <c r="A94" s="235"/>
      <c r="B94" s="411" t="s">
        <v>325</v>
      </c>
      <c r="C94" s="413"/>
      <c r="D94" s="414">
        <v>0.27</v>
      </c>
      <c r="E94" s="391">
        <f>+E93*D94</f>
        <v>97838986.153846174</v>
      </c>
      <c r="F94" s="241"/>
    </row>
    <row r="95" spans="1:8">
      <c r="A95" s="235"/>
      <c r="B95" s="411"/>
      <c r="C95" s="413"/>
      <c r="D95" s="414"/>
      <c r="E95" s="399"/>
      <c r="F95" s="241"/>
      <c r="H95" s="240"/>
    </row>
    <row r="96" spans="1:8" ht="15.75" thickBot="1">
      <c r="A96" s="235"/>
      <c r="B96" s="359" t="s">
        <v>469</v>
      </c>
      <c r="C96" s="360"/>
      <c r="D96" s="241"/>
      <c r="E96" s="382"/>
      <c r="F96" s="241"/>
    </row>
    <row r="97" spans="1:6" ht="15.75" thickBot="1">
      <c r="A97" s="235"/>
      <c r="B97" s="235" t="s">
        <v>470</v>
      </c>
      <c r="C97" s="235"/>
      <c r="D97" s="391">
        <f>+D51</f>
        <v>3966270</v>
      </c>
      <c r="E97" s="382"/>
      <c r="F97" s="241"/>
    </row>
    <row r="98" spans="1:6" ht="16.5" thickBot="1">
      <c r="A98" s="235"/>
      <c r="B98" s="397" t="s">
        <v>471</v>
      </c>
      <c r="C98" s="397"/>
      <c r="D98" s="391">
        <f>+D97</f>
        <v>3966270</v>
      </c>
      <c r="E98" s="382"/>
      <c r="F98" s="241"/>
    </row>
    <row r="99" spans="1:6" ht="15.75">
      <c r="A99" s="235"/>
      <c r="B99" s="397" t="s">
        <v>472</v>
      </c>
      <c r="C99" s="415">
        <v>0.4</v>
      </c>
      <c r="D99" s="416">
        <f>+D98*C99</f>
        <v>1586508</v>
      </c>
      <c r="E99" s="382"/>
      <c r="F99" s="241"/>
    </row>
    <row r="100" spans="1:6" ht="15.75" thickBot="1">
      <c r="A100" s="235"/>
      <c r="B100" s="417"/>
      <c r="C100" s="418"/>
      <c r="D100" s="419"/>
      <c r="E100" s="420"/>
      <c r="F100" s="241"/>
    </row>
  </sheetData>
  <mergeCells count="1">
    <mergeCell ref="B2:E2"/>
  </mergeCells>
  <pageMargins left="0.70866141732283472" right="0.70866141732283472" top="0.74803149606299213" bottom="0.74803149606299213" header="0.31496062992125984" footer="0.31496062992125984"/>
  <pageSetup scale="10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7"/>
  <sheetViews>
    <sheetView showGridLines="0" topLeftCell="A10" zoomScaleNormal="100" workbookViewId="0">
      <selection activeCell="R36" sqref="R36"/>
    </sheetView>
  </sheetViews>
  <sheetFormatPr baseColWidth="10" defaultColWidth="11.5703125" defaultRowHeight="14.25"/>
  <cols>
    <col min="1" max="1" width="1.85546875" style="244" customWidth="1"/>
    <col min="2" max="2" width="22.28515625" style="244" customWidth="1"/>
    <col min="3" max="4" width="4.5703125" style="244" customWidth="1"/>
    <col min="5" max="5" width="7.140625" style="244" customWidth="1"/>
    <col min="6" max="6" width="7.85546875" style="244" customWidth="1"/>
    <col min="7" max="7" width="4.5703125" style="244" customWidth="1"/>
    <col min="8" max="8" width="8.140625" style="244" customWidth="1"/>
    <col min="9" max="9" width="27.140625" style="244" customWidth="1"/>
    <col min="10" max="10" width="7.140625" style="244" customWidth="1"/>
    <col min="11" max="12" width="8.5703125" style="244" customWidth="1"/>
    <col min="13" max="13" width="4.5703125" style="244" customWidth="1"/>
    <col min="14" max="14" width="7.42578125" style="244" customWidth="1"/>
    <col min="15" max="16" width="4.5703125" style="244" customWidth="1"/>
    <col min="17" max="17" width="7" style="244" customWidth="1"/>
    <col min="18" max="19" width="15.5703125" style="244" bestFit="1" customWidth="1"/>
    <col min="20" max="20" width="7.140625" style="244" customWidth="1"/>
    <col min="21" max="21" width="6.5703125" style="244" customWidth="1"/>
    <col min="22" max="22" width="4.5703125" style="244" customWidth="1"/>
    <col min="23" max="23" width="7.85546875" style="244" customWidth="1"/>
    <col min="24" max="24" width="8.140625" style="244" customWidth="1"/>
    <col min="25" max="28" width="4.5703125" style="244" customWidth="1"/>
    <col min="29" max="29" width="11.5703125" style="244"/>
    <col min="30" max="30" width="8.42578125" style="244" customWidth="1"/>
    <col min="31" max="31" width="5.42578125" style="244" customWidth="1"/>
    <col min="32" max="33" width="5.140625" style="244" customWidth="1"/>
    <col min="34" max="34" width="6.42578125" style="244" customWidth="1"/>
    <col min="35" max="35" width="11.5703125" style="244"/>
    <col min="36" max="36" width="8.42578125" style="244" customWidth="1"/>
    <col min="37" max="37" width="3.140625" style="244" customWidth="1"/>
    <col min="38" max="38" width="5.140625" style="244" customWidth="1"/>
    <col min="39" max="39" width="7.42578125" style="244" customWidth="1"/>
    <col min="40" max="40" width="4.5703125" style="244" customWidth="1"/>
    <col min="41" max="256" width="11.5703125" style="244"/>
    <col min="257" max="257" width="1.85546875" style="244" customWidth="1"/>
    <col min="258" max="258" width="22.28515625" style="244" customWidth="1"/>
    <col min="259" max="260" width="4.5703125" style="244" customWidth="1"/>
    <col min="261" max="261" width="7.140625" style="244" customWidth="1"/>
    <col min="262" max="262" width="7.85546875" style="244" customWidth="1"/>
    <col min="263" max="263" width="4.5703125" style="244" customWidth="1"/>
    <col min="264" max="264" width="8.140625" style="244" customWidth="1"/>
    <col min="265" max="265" width="27.140625" style="244" customWidth="1"/>
    <col min="266" max="266" width="7.140625" style="244" customWidth="1"/>
    <col min="267" max="268" width="8.5703125" style="244" customWidth="1"/>
    <col min="269" max="269" width="4.5703125" style="244" customWidth="1"/>
    <col min="270" max="270" width="7.42578125" style="244" customWidth="1"/>
    <col min="271" max="272" width="4.5703125" style="244" customWidth="1"/>
    <col min="273" max="273" width="7" style="244" customWidth="1"/>
    <col min="274" max="274" width="8.140625" style="244" customWidth="1"/>
    <col min="275" max="275" width="8" style="244" customWidth="1"/>
    <col min="276" max="276" width="7.140625" style="244" customWidth="1"/>
    <col min="277" max="277" width="6.5703125" style="244" customWidth="1"/>
    <col min="278" max="278" width="4.5703125" style="244" customWidth="1"/>
    <col min="279" max="279" width="7.85546875" style="244" customWidth="1"/>
    <col min="280" max="280" width="8.140625" style="244" customWidth="1"/>
    <col min="281" max="284" width="4.5703125" style="244" customWidth="1"/>
    <col min="285" max="285" width="11.5703125" style="244"/>
    <col min="286" max="286" width="8.42578125" style="244" customWidth="1"/>
    <col min="287" max="287" width="5.42578125" style="244" customWidth="1"/>
    <col min="288" max="289" width="5.140625" style="244" customWidth="1"/>
    <col min="290" max="290" width="6.42578125" style="244" customWidth="1"/>
    <col min="291" max="291" width="11.5703125" style="244"/>
    <col min="292" max="292" width="8.42578125" style="244" customWidth="1"/>
    <col min="293" max="293" width="3.140625" style="244" customWidth="1"/>
    <col min="294" max="294" width="5.140625" style="244" customWidth="1"/>
    <col min="295" max="295" width="7.42578125" style="244" customWidth="1"/>
    <col min="296" max="296" width="4.5703125" style="244" customWidth="1"/>
    <col min="297" max="512" width="11.5703125" style="244"/>
    <col min="513" max="513" width="1.85546875" style="244" customWidth="1"/>
    <col min="514" max="514" width="22.28515625" style="244" customWidth="1"/>
    <col min="515" max="516" width="4.5703125" style="244" customWidth="1"/>
    <col min="517" max="517" width="7.140625" style="244" customWidth="1"/>
    <col min="518" max="518" width="7.85546875" style="244" customWidth="1"/>
    <col min="519" max="519" width="4.5703125" style="244" customWidth="1"/>
    <col min="520" max="520" width="8.140625" style="244" customWidth="1"/>
    <col min="521" max="521" width="27.140625" style="244" customWidth="1"/>
    <col min="522" max="522" width="7.140625" style="244" customWidth="1"/>
    <col min="523" max="524" width="8.5703125" style="244" customWidth="1"/>
    <col min="525" max="525" width="4.5703125" style="244" customWidth="1"/>
    <col min="526" max="526" width="7.42578125" style="244" customWidth="1"/>
    <col min="527" max="528" width="4.5703125" style="244" customWidth="1"/>
    <col min="529" max="529" width="7" style="244" customWidth="1"/>
    <col min="530" max="530" width="8.140625" style="244" customWidth="1"/>
    <col min="531" max="531" width="8" style="244" customWidth="1"/>
    <col min="532" max="532" width="7.140625" style="244" customWidth="1"/>
    <col min="533" max="533" width="6.5703125" style="244" customWidth="1"/>
    <col min="534" max="534" width="4.5703125" style="244" customWidth="1"/>
    <col min="535" max="535" width="7.85546875" style="244" customWidth="1"/>
    <col min="536" max="536" width="8.140625" style="244" customWidth="1"/>
    <col min="537" max="540" width="4.5703125" style="244" customWidth="1"/>
    <col min="541" max="541" width="11.5703125" style="244"/>
    <col min="542" max="542" width="8.42578125" style="244" customWidth="1"/>
    <col min="543" max="543" width="5.42578125" style="244" customWidth="1"/>
    <col min="544" max="545" width="5.140625" style="244" customWidth="1"/>
    <col min="546" max="546" width="6.42578125" style="244" customWidth="1"/>
    <col min="547" max="547" width="11.5703125" style="244"/>
    <col min="548" max="548" width="8.42578125" style="244" customWidth="1"/>
    <col min="549" max="549" width="3.140625" style="244" customWidth="1"/>
    <col min="550" max="550" width="5.140625" style="244" customWidth="1"/>
    <col min="551" max="551" width="7.42578125" style="244" customWidth="1"/>
    <col min="552" max="552" width="4.5703125" style="244" customWidth="1"/>
    <col min="553" max="768" width="11.5703125" style="244"/>
    <col min="769" max="769" width="1.85546875" style="244" customWidth="1"/>
    <col min="770" max="770" width="22.28515625" style="244" customWidth="1"/>
    <col min="771" max="772" width="4.5703125" style="244" customWidth="1"/>
    <col min="773" max="773" width="7.140625" style="244" customWidth="1"/>
    <col min="774" max="774" width="7.85546875" style="244" customWidth="1"/>
    <col min="775" max="775" width="4.5703125" style="244" customWidth="1"/>
    <col min="776" max="776" width="8.140625" style="244" customWidth="1"/>
    <col min="777" max="777" width="27.140625" style="244" customWidth="1"/>
    <col min="778" max="778" width="7.140625" style="244" customWidth="1"/>
    <col min="779" max="780" width="8.5703125" style="244" customWidth="1"/>
    <col min="781" max="781" width="4.5703125" style="244" customWidth="1"/>
    <col min="782" max="782" width="7.42578125" style="244" customWidth="1"/>
    <col min="783" max="784" width="4.5703125" style="244" customWidth="1"/>
    <col min="785" max="785" width="7" style="244" customWidth="1"/>
    <col min="786" max="786" width="8.140625" style="244" customWidth="1"/>
    <col min="787" max="787" width="8" style="244" customWidth="1"/>
    <col min="788" max="788" width="7.140625" style="244" customWidth="1"/>
    <col min="789" max="789" width="6.5703125" style="244" customWidth="1"/>
    <col min="790" max="790" width="4.5703125" style="244" customWidth="1"/>
    <col min="791" max="791" width="7.85546875" style="244" customWidth="1"/>
    <col min="792" max="792" width="8.140625" style="244" customWidth="1"/>
    <col min="793" max="796" width="4.5703125" style="244" customWidth="1"/>
    <col min="797" max="797" width="11.5703125" style="244"/>
    <col min="798" max="798" width="8.42578125" style="244" customWidth="1"/>
    <col min="799" max="799" width="5.42578125" style="244" customWidth="1"/>
    <col min="800" max="801" width="5.140625" style="244" customWidth="1"/>
    <col min="802" max="802" width="6.42578125" style="244" customWidth="1"/>
    <col min="803" max="803" width="11.5703125" style="244"/>
    <col min="804" max="804" width="8.42578125" style="244" customWidth="1"/>
    <col min="805" max="805" width="3.140625" style="244" customWidth="1"/>
    <col min="806" max="806" width="5.140625" style="244" customWidth="1"/>
    <col min="807" max="807" width="7.42578125" style="244" customWidth="1"/>
    <col min="808" max="808" width="4.5703125" style="244" customWidth="1"/>
    <col min="809" max="1024" width="11.5703125" style="244"/>
    <col min="1025" max="1025" width="1.85546875" style="244" customWidth="1"/>
    <col min="1026" max="1026" width="22.28515625" style="244" customWidth="1"/>
    <col min="1027" max="1028" width="4.5703125" style="244" customWidth="1"/>
    <col min="1029" max="1029" width="7.140625" style="244" customWidth="1"/>
    <col min="1030" max="1030" width="7.85546875" style="244" customWidth="1"/>
    <col min="1031" max="1031" width="4.5703125" style="244" customWidth="1"/>
    <col min="1032" max="1032" width="8.140625" style="244" customWidth="1"/>
    <col min="1033" max="1033" width="27.140625" style="244" customWidth="1"/>
    <col min="1034" max="1034" width="7.140625" style="244" customWidth="1"/>
    <col min="1035" max="1036" width="8.5703125" style="244" customWidth="1"/>
    <col min="1037" max="1037" width="4.5703125" style="244" customWidth="1"/>
    <col min="1038" max="1038" width="7.42578125" style="244" customWidth="1"/>
    <col min="1039" max="1040" width="4.5703125" style="244" customWidth="1"/>
    <col min="1041" max="1041" width="7" style="244" customWidth="1"/>
    <col min="1042" max="1042" width="8.140625" style="244" customWidth="1"/>
    <col min="1043" max="1043" width="8" style="244" customWidth="1"/>
    <col min="1044" max="1044" width="7.140625" style="244" customWidth="1"/>
    <col min="1045" max="1045" width="6.5703125" style="244" customWidth="1"/>
    <col min="1046" max="1046" width="4.5703125" style="244" customWidth="1"/>
    <col min="1047" max="1047" width="7.85546875" style="244" customWidth="1"/>
    <col min="1048" max="1048" width="8.140625" style="244" customWidth="1"/>
    <col min="1049" max="1052" width="4.5703125" style="244" customWidth="1"/>
    <col min="1053" max="1053" width="11.5703125" style="244"/>
    <col min="1054" max="1054" width="8.42578125" style="244" customWidth="1"/>
    <col min="1055" max="1055" width="5.42578125" style="244" customWidth="1"/>
    <col min="1056" max="1057" width="5.140625" style="244" customWidth="1"/>
    <col min="1058" max="1058" width="6.42578125" style="244" customWidth="1"/>
    <col min="1059" max="1059" width="11.5703125" style="244"/>
    <col min="1060" max="1060" width="8.42578125" style="244" customWidth="1"/>
    <col min="1061" max="1061" width="3.140625" style="244" customWidth="1"/>
    <col min="1062" max="1062" width="5.140625" style="244" customWidth="1"/>
    <col min="1063" max="1063" width="7.42578125" style="244" customWidth="1"/>
    <col min="1064" max="1064" width="4.5703125" style="244" customWidth="1"/>
    <col min="1065" max="1280" width="11.5703125" style="244"/>
    <col min="1281" max="1281" width="1.85546875" style="244" customWidth="1"/>
    <col min="1282" max="1282" width="22.28515625" style="244" customWidth="1"/>
    <col min="1283" max="1284" width="4.5703125" style="244" customWidth="1"/>
    <col min="1285" max="1285" width="7.140625" style="244" customWidth="1"/>
    <col min="1286" max="1286" width="7.85546875" style="244" customWidth="1"/>
    <col min="1287" max="1287" width="4.5703125" style="244" customWidth="1"/>
    <col min="1288" max="1288" width="8.140625" style="244" customWidth="1"/>
    <col min="1289" max="1289" width="27.140625" style="244" customWidth="1"/>
    <col min="1290" max="1290" width="7.140625" style="244" customWidth="1"/>
    <col min="1291" max="1292" width="8.5703125" style="244" customWidth="1"/>
    <col min="1293" max="1293" width="4.5703125" style="244" customWidth="1"/>
    <col min="1294" max="1294" width="7.42578125" style="244" customWidth="1"/>
    <col min="1295" max="1296" width="4.5703125" style="244" customWidth="1"/>
    <col min="1297" max="1297" width="7" style="244" customWidth="1"/>
    <col min="1298" max="1298" width="8.140625" style="244" customWidth="1"/>
    <col min="1299" max="1299" width="8" style="244" customWidth="1"/>
    <col min="1300" max="1300" width="7.140625" style="244" customWidth="1"/>
    <col min="1301" max="1301" width="6.5703125" style="244" customWidth="1"/>
    <col min="1302" max="1302" width="4.5703125" style="244" customWidth="1"/>
    <col min="1303" max="1303" width="7.85546875" style="244" customWidth="1"/>
    <col min="1304" max="1304" width="8.140625" style="244" customWidth="1"/>
    <col min="1305" max="1308" width="4.5703125" style="244" customWidth="1"/>
    <col min="1309" max="1309" width="11.5703125" style="244"/>
    <col min="1310" max="1310" width="8.42578125" style="244" customWidth="1"/>
    <col min="1311" max="1311" width="5.42578125" style="244" customWidth="1"/>
    <col min="1312" max="1313" width="5.140625" style="244" customWidth="1"/>
    <col min="1314" max="1314" width="6.42578125" style="244" customWidth="1"/>
    <col min="1315" max="1315" width="11.5703125" style="244"/>
    <col min="1316" max="1316" width="8.42578125" style="244" customWidth="1"/>
    <col min="1317" max="1317" width="3.140625" style="244" customWidth="1"/>
    <col min="1318" max="1318" width="5.140625" style="244" customWidth="1"/>
    <col min="1319" max="1319" width="7.42578125" style="244" customWidth="1"/>
    <col min="1320" max="1320" width="4.5703125" style="244" customWidth="1"/>
    <col min="1321" max="1536" width="11.5703125" style="244"/>
    <col min="1537" max="1537" width="1.85546875" style="244" customWidth="1"/>
    <col min="1538" max="1538" width="22.28515625" style="244" customWidth="1"/>
    <col min="1539" max="1540" width="4.5703125" style="244" customWidth="1"/>
    <col min="1541" max="1541" width="7.140625" style="244" customWidth="1"/>
    <col min="1542" max="1542" width="7.85546875" style="244" customWidth="1"/>
    <col min="1543" max="1543" width="4.5703125" style="244" customWidth="1"/>
    <col min="1544" max="1544" width="8.140625" style="244" customWidth="1"/>
    <col min="1545" max="1545" width="27.140625" style="244" customWidth="1"/>
    <col min="1546" max="1546" width="7.140625" style="244" customWidth="1"/>
    <col min="1547" max="1548" width="8.5703125" style="244" customWidth="1"/>
    <col min="1549" max="1549" width="4.5703125" style="244" customWidth="1"/>
    <col min="1550" max="1550" width="7.42578125" style="244" customWidth="1"/>
    <col min="1551" max="1552" width="4.5703125" style="244" customWidth="1"/>
    <col min="1553" max="1553" width="7" style="244" customWidth="1"/>
    <col min="1554" max="1554" width="8.140625" style="244" customWidth="1"/>
    <col min="1555" max="1555" width="8" style="244" customWidth="1"/>
    <col min="1556" max="1556" width="7.140625" style="244" customWidth="1"/>
    <col min="1557" max="1557" width="6.5703125" style="244" customWidth="1"/>
    <col min="1558" max="1558" width="4.5703125" style="244" customWidth="1"/>
    <col min="1559" max="1559" width="7.85546875" style="244" customWidth="1"/>
    <col min="1560" max="1560" width="8.140625" style="244" customWidth="1"/>
    <col min="1561" max="1564" width="4.5703125" style="244" customWidth="1"/>
    <col min="1565" max="1565" width="11.5703125" style="244"/>
    <col min="1566" max="1566" width="8.42578125" style="244" customWidth="1"/>
    <col min="1567" max="1567" width="5.42578125" style="244" customWidth="1"/>
    <col min="1568" max="1569" width="5.140625" style="244" customWidth="1"/>
    <col min="1570" max="1570" width="6.42578125" style="244" customWidth="1"/>
    <col min="1571" max="1571" width="11.5703125" style="244"/>
    <col min="1572" max="1572" width="8.42578125" style="244" customWidth="1"/>
    <col min="1573" max="1573" width="3.140625" style="244" customWidth="1"/>
    <col min="1574" max="1574" width="5.140625" style="244" customWidth="1"/>
    <col min="1575" max="1575" width="7.42578125" style="244" customWidth="1"/>
    <col min="1576" max="1576" width="4.5703125" style="244" customWidth="1"/>
    <col min="1577" max="1792" width="11.5703125" style="244"/>
    <col min="1793" max="1793" width="1.85546875" style="244" customWidth="1"/>
    <col min="1794" max="1794" width="22.28515625" style="244" customWidth="1"/>
    <col min="1795" max="1796" width="4.5703125" style="244" customWidth="1"/>
    <col min="1797" max="1797" width="7.140625" style="244" customWidth="1"/>
    <col min="1798" max="1798" width="7.85546875" style="244" customWidth="1"/>
    <col min="1799" max="1799" width="4.5703125" style="244" customWidth="1"/>
    <col min="1800" max="1800" width="8.140625" style="244" customWidth="1"/>
    <col min="1801" max="1801" width="27.140625" style="244" customWidth="1"/>
    <col min="1802" max="1802" width="7.140625" style="244" customWidth="1"/>
    <col min="1803" max="1804" width="8.5703125" style="244" customWidth="1"/>
    <col min="1805" max="1805" width="4.5703125" style="244" customWidth="1"/>
    <col min="1806" max="1806" width="7.42578125" style="244" customWidth="1"/>
    <col min="1807" max="1808" width="4.5703125" style="244" customWidth="1"/>
    <col min="1809" max="1809" width="7" style="244" customWidth="1"/>
    <col min="1810" max="1810" width="8.140625" style="244" customWidth="1"/>
    <col min="1811" max="1811" width="8" style="244" customWidth="1"/>
    <col min="1812" max="1812" width="7.140625" style="244" customWidth="1"/>
    <col min="1813" max="1813" width="6.5703125" style="244" customWidth="1"/>
    <col min="1814" max="1814" width="4.5703125" style="244" customWidth="1"/>
    <col min="1815" max="1815" width="7.85546875" style="244" customWidth="1"/>
    <col min="1816" max="1816" width="8.140625" style="244" customWidth="1"/>
    <col min="1817" max="1820" width="4.5703125" style="244" customWidth="1"/>
    <col min="1821" max="1821" width="11.5703125" style="244"/>
    <col min="1822" max="1822" width="8.42578125" style="244" customWidth="1"/>
    <col min="1823" max="1823" width="5.42578125" style="244" customWidth="1"/>
    <col min="1824" max="1825" width="5.140625" style="244" customWidth="1"/>
    <col min="1826" max="1826" width="6.42578125" style="244" customWidth="1"/>
    <col min="1827" max="1827" width="11.5703125" style="244"/>
    <col min="1828" max="1828" width="8.42578125" style="244" customWidth="1"/>
    <col min="1829" max="1829" width="3.140625" style="244" customWidth="1"/>
    <col min="1830" max="1830" width="5.140625" style="244" customWidth="1"/>
    <col min="1831" max="1831" width="7.42578125" style="244" customWidth="1"/>
    <col min="1832" max="1832" width="4.5703125" style="244" customWidth="1"/>
    <col min="1833" max="2048" width="11.5703125" style="244"/>
    <col min="2049" max="2049" width="1.85546875" style="244" customWidth="1"/>
    <col min="2050" max="2050" width="22.28515625" style="244" customWidth="1"/>
    <col min="2051" max="2052" width="4.5703125" style="244" customWidth="1"/>
    <col min="2053" max="2053" width="7.140625" style="244" customWidth="1"/>
    <col min="2054" max="2054" width="7.85546875" style="244" customWidth="1"/>
    <col min="2055" max="2055" width="4.5703125" style="244" customWidth="1"/>
    <col min="2056" max="2056" width="8.140625" style="244" customWidth="1"/>
    <col min="2057" max="2057" width="27.140625" style="244" customWidth="1"/>
    <col min="2058" max="2058" width="7.140625" style="244" customWidth="1"/>
    <col min="2059" max="2060" width="8.5703125" style="244" customWidth="1"/>
    <col min="2061" max="2061" width="4.5703125" style="244" customWidth="1"/>
    <col min="2062" max="2062" width="7.42578125" style="244" customWidth="1"/>
    <col min="2063" max="2064" width="4.5703125" style="244" customWidth="1"/>
    <col min="2065" max="2065" width="7" style="244" customWidth="1"/>
    <col min="2066" max="2066" width="8.140625" style="244" customWidth="1"/>
    <col min="2067" max="2067" width="8" style="244" customWidth="1"/>
    <col min="2068" max="2068" width="7.140625" style="244" customWidth="1"/>
    <col min="2069" max="2069" width="6.5703125" style="244" customWidth="1"/>
    <col min="2070" max="2070" width="4.5703125" style="244" customWidth="1"/>
    <col min="2071" max="2071" width="7.85546875" style="244" customWidth="1"/>
    <col min="2072" max="2072" width="8.140625" style="244" customWidth="1"/>
    <col min="2073" max="2076" width="4.5703125" style="244" customWidth="1"/>
    <col min="2077" max="2077" width="11.5703125" style="244"/>
    <col min="2078" max="2078" width="8.42578125" style="244" customWidth="1"/>
    <col min="2079" max="2079" width="5.42578125" style="244" customWidth="1"/>
    <col min="2080" max="2081" width="5.140625" style="244" customWidth="1"/>
    <col min="2082" max="2082" width="6.42578125" style="244" customWidth="1"/>
    <col min="2083" max="2083" width="11.5703125" style="244"/>
    <col min="2084" max="2084" width="8.42578125" style="244" customWidth="1"/>
    <col min="2085" max="2085" width="3.140625" style="244" customWidth="1"/>
    <col min="2086" max="2086" width="5.140625" style="244" customWidth="1"/>
    <col min="2087" max="2087" width="7.42578125" style="244" customWidth="1"/>
    <col min="2088" max="2088" width="4.5703125" style="244" customWidth="1"/>
    <col min="2089" max="2304" width="11.5703125" style="244"/>
    <col min="2305" max="2305" width="1.85546875" style="244" customWidth="1"/>
    <col min="2306" max="2306" width="22.28515625" style="244" customWidth="1"/>
    <col min="2307" max="2308" width="4.5703125" style="244" customWidth="1"/>
    <col min="2309" max="2309" width="7.140625" style="244" customWidth="1"/>
    <col min="2310" max="2310" width="7.85546875" style="244" customWidth="1"/>
    <col min="2311" max="2311" width="4.5703125" style="244" customWidth="1"/>
    <col min="2312" max="2312" width="8.140625" style="244" customWidth="1"/>
    <col min="2313" max="2313" width="27.140625" style="244" customWidth="1"/>
    <col min="2314" max="2314" width="7.140625" style="244" customWidth="1"/>
    <col min="2315" max="2316" width="8.5703125" style="244" customWidth="1"/>
    <col min="2317" max="2317" width="4.5703125" style="244" customWidth="1"/>
    <col min="2318" max="2318" width="7.42578125" style="244" customWidth="1"/>
    <col min="2319" max="2320" width="4.5703125" style="244" customWidth="1"/>
    <col min="2321" max="2321" width="7" style="244" customWidth="1"/>
    <col min="2322" max="2322" width="8.140625" style="244" customWidth="1"/>
    <col min="2323" max="2323" width="8" style="244" customWidth="1"/>
    <col min="2324" max="2324" width="7.140625" style="244" customWidth="1"/>
    <col min="2325" max="2325" width="6.5703125" style="244" customWidth="1"/>
    <col min="2326" max="2326" width="4.5703125" style="244" customWidth="1"/>
    <col min="2327" max="2327" width="7.85546875" style="244" customWidth="1"/>
    <col min="2328" max="2328" width="8.140625" style="244" customWidth="1"/>
    <col min="2329" max="2332" width="4.5703125" style="244" customWidth="1"/>
    <col min="2333" max="2333" width="11.5703125" style="244"/>
    <col min="2334" max="2334" width="8.42578125" style="244" customWidth="1"/>
    <col min="2335" max="2335" width="5.42578125" style="244" customWidth="1"/>
    <col min="2336" max="2337" width="5.140625" style="244" customWidth="1"/>
    <col min="2338" max="2338" width="6.42578125" style="244" customWidth="1"/>
    <col min="2339" max="2339" width="11.5703125" style="244"/>
    <col min="2340" max="2340" width="8.42578125" style="244" customWidth="1"/>
    <col min="2341" max="2341" width="3.140625" style="244" customWidth="1"/>
    <col min="2342" max="2342" width="5.140625" style="244" customWidth="1"/>
    <col min="2343" max="2343" width="7.42578125" style="244" customWidth="1"/>
    <col min="2344" max="2344" width="4.5703125" style="244" customWidth="1"/>
    <col min="2345" max="2560" width="11.5703125" style="244"/>
    <col min="2561" max="2561" width="1.85546875" style="244" customWidth="1"/>
    <col min="2562" max="2562" width="22.28515625" style="244" customWidth="1"/>
    <col min="2563" max="2564" width="4.5703125" style="244" customWidth="1"/>
    <col min="2565" max="2565" width="7.140625" style="244" customWidth="1"/>
    <col min="2566" max="2566" width="7.85546875" style="244" customWidth="1"/>
    <col min="2567" max="2567" width="4.5703125" style="244" customWidth="1"/>
    <col min="2568" max="2568" width="8.140625" style="244" customWidth="1"/>
    <col min="2569" max="2569" width="27.140625" style="244" customWidth="1"/>
    <col min="2570" max="2570" width="7.140625" style="244" customWidth="1"/>
    <col min="2571" max="2572" width="8.5703125" style="244" customWidth="1"/>
    <col min="2573" max="2573" width="4.5703125" style="244" customWidth="1"/>
    <col min="2574" max="2574" width="7.42578125" style="244" customWidth="1"/>
    <col min="2575" max="2576" width="4.5703125" style="244" customWidth="1"/>
    <col min="2577" max="2577" width="7" style="244" customWidth="1"/>
    <col min="2578" max="2578" width="8.140625" style="244" customWidth="1"/>
    <col min="2579" max="2579" width="8" style="244" customWidth="1"/>
    <col min="2580" max="2580" width="7.140625" style="244" customWidth="1"/>
    <col min="2581" max="2581" width="6.5703125" style="244" customWidth="1"/>
    <col min="2582" max="2582" width="4.5703125" style="244" customWidth="1"/>
    <col min="2583" max="2583" width="7.85546875" style="244" customWidth="1"/>
    <col min="2584" max="2584" width="8.140625" style="244" customWidth="1"/>
    <col min="2585" max="2588" width="4.5703125" style="244" customWidth="1"/>
    <col min="2589" max="2589" width="11.5703125" style="244"/>
    <col min="2590" max="2590" width="8.42578125" style="244" customWidth="1"/>
    <col min="2591" max="2591" width="5.42578125" style="244" customWidth="1"/>
    <col min="2592" max="2593" width="5.140625" style="244" customWidth="1"/>
    <col min="2594" max="2594" width="6.42578125" style="244" customWidth="1"/>
    <col min="2595" max="2595" width="11.5703125" style="244"/>
    <col min="2596" max="2596" width="8.42578125" style="244" customWidth="1"/>
    <col min="2597" max="2597" width="3.140625" style="244" customWidth="1"/>
    <col min="2598" max="2598" width="5.140625" style="244" customWidth="1"/>
    <col min="2599" max="2599" width="7.42578125" style="244" customWidth="1"/>
    <col min="2600" max="2600" width="4.5703125" style="244" customWidth="1"/>
    <col min="2601" max="2816" width="11.5703125" style="244"/>
    <col min="2817" max="2817" width="1.85546875" style="244" customWidth="1"/>
    <col min="2818" max="2818" width="22.28515625" style="244" customWidth="1"/>
    <col min="2819" max="2820" width="4.5703125" style="244" customWidth="1"/>
    <col min="2821" max="2821" width="7.140625" style="244" customWidth="1"/>
    <col min="2822" max="2822" width="7.85546875" style="244" customWidth="1"/>
    <col min="2823" max="2823" width="4.5703125" style="244" customWidth="1"/>
    <col min="2824" max="2824" width="8.140625" style="244" customWidth="1"/>
    <col min="2825" max="2825" width="27.140625" style="244" customWidth="1"/>
    <col min="2826" max="2826" width="7.140625" style="244" customWidth="1"/>
    <col min="2827" max="2828" width="8.5703125" style="244" customWidth="1"/>
    <col min="2829" max="2829" width="4.5703125" style="244" customWidth="1"/>
    <col min="2830" max="2830" width="7.42578125" style="244" customWidth="1"/>
    <col min="2831" max="2832" width="4.5703125" style="244" customWidth="1"/>
    <col min="2833" max="2833" width="7" style="244" customWidth="1"/>
    <col min="2834" max="2834" width="8.140625" style="244" customWidth="1"/>
    <col min="2835" max="2835" width="8" style="244" customWidth="1"/>
    <col min="2836" max="2836" width="7.140625" style="244" customWidth="1"/>
    <col min="2837" max="2837" width="6.5703125" style="244" customWidth="1"/>
    <col min="2838" max="2838" width="4.5703125" style="244" customWidth="1"/>
    <col min="2839" max="2839" width="7.85546875" style="244" customWidth="1"/>
    <col min="2840" max="2840" width="8.140625" style="244" customWidth="1"/>
    <col min="2841" max="2844" width="4.5703125" style="244" customWidth="1"/>
    <col min="2845" max="2845" width="11.5703125" style="244"/>
    <col min="2846" max="2846" width="8.42578125" style="244" customWidth="1"/>
    <col min="2847" max="2847" width="5.42578125" style="244" customWidth="1"/>
    <col min="2848" max="2849" width="5.140625" style="244" customWidth="1"/>
    <col min="2850" max="2850" width="6.42578125" style="244" customWidth="1"/>
    <col min="2851" max="2851" width="11.5703125" style="244"/>
    <col min="2852" max="2852" width="8.42578125" style="244" customWidth="1"/>
    <col min="2853" max="2853" width="3.140625" style="244" customWidth="1"/>
    <col min="2854" max="2854" width="5.140625" style="244" customWidth="1"/>
    <col min="2855" max="2855" width="7.42578125" style="244" customWidth="1"/>
    <col min="2856" max="2856" width="4.5703125" style="244" customWidth="1"/>
    <col min="2857" max="3072" width="11.5703125" style="244"/>
    <col min="3073" max="3073" width="1.85546875" style="244" customWidth="1"/>
    <col min="3074" max="3074" width="22.28515625" style="244" customWidth="1"/>
    <col min="3075" max="3076" width="4.5703125" style="244" customWidth="1"/>
    <col min="3077" max="3077" width="7.140625" style="244" customWidth="1"/>
    <col min="3078" max="3078" width="7.85546875" style="244" customWidth="1"/>
    <col min="3079" max="3079" width="4.5703125" style="244" customWidth="1"/>
    <col min="3080" max="3080" width="8.140625" style="244" customWidth="1"/>
    <col min="3081" max="3081" width="27.140625" style="244" customWidth="1"/>
    <col min="3082" max="3082" width="7.140625" style="244" customWidth="1"/>
    <col min="3083" max="3084" width="8.5703125" style="244" customWidth="1"/>
    <col min="3085" max="3085" width="4.5703125" style="244" customWidth="1"/>
    <col min="3086" max="3086" width="7.42578125" style="244" customWidth="1"/>
    <col min="3087" max="3088" width="4.5703125" style="244" customWidth="1"/>
    <col min="3089" max="3089" width="7" style="244" customWidth="1"/>
    <col min="3090" max="3090" width="8.140625" style="244" customWidth="1"/>
    <col min="3091" max="3091" width="8" style="244" customWidth="1"/>
    <col min="3092" max="3092" width="7.140625" style="244" customWidth="1"/>
    <col min="3093" max="3093" width="6.5703125" style="244" customWidth="1"/>
    <col min="3094" max="3094" width="4.5703125" style="244" customWidth="1"/>
    <col min="3095" max="3095" width="7.85546875" style="244" customWidth="1"/>
    <col min="3096" max="3096" width="8.140625" style="244" customWidth="1"/>
    <col min="3097" max="3100" width="4.5703125" style="244" customWidth="1"/>
    <col min="3101" max="3101" width="11.5703125" style="244"/>
    <col min="3102" max="3102" width="8.42578125" style="244" customWidth="1"/>
    <col min="3103" max="3103" width="5.42578125" style="244" customWidth="1"/>
    <col min="3104" max="3105" width="5.140625" style="244" customWidth="1"/>
    <col min="3106" max="3106" width="6.42578125" style="244" customWidth="1"/>
    <col min="3107" max="3107" width="11.5703125" style="244"/>
    <col min="3108" max="3108" width="8.42578125" style="244" customWidth="1"/>
    <col min="3109" max="3109" width="3.140625" style="244" customWidth="1"/>
    <col min="3110" max="3110" width="5.140625" style="244" customWidth="1"/>
    <col min="3111" max="3111" width="7.42578125" style="244" customWidth="1"/>
    <col min="3112" max="3112" width="4.5703125" style="244" customWidth="1"/>
    <col min="3113" max="3328" width="11.5703125" style="244"/>
    <col min="3329" max="3329" width="1.85546875" style="244" customWidth="1"/>
    <col min="3330" max="3330" width="22.28515625" style="244" customWidth="1"/>
    <col min="3331" max="3332" width="4.5703125" style="244" customWidth="1"/>
    <col min="3333" max="3333" width="7.140625" style="244" customWidth="1"/>
    <col min="3334" max="3334" width="7.85546875" style="244" customWidth="1"/>
    <col min="3335" max="3335" width="4.5703125" style="244" customWidth="1"/>
    <col min="3336" max="3336" width="8.140625" style="244" customWidth="1"/>
    <col min="3337" max="3337" width="27.140625" style="244" customWidth="1"/>
    <col min="3338" max="3338" width="7.140625" style="244" customWidth="1"/>
    <col min="3339" max="3340" width="8.5703125" style="244" customWidth="1"/>
    <col min="3341" max="3341" width="4.5703125" style="244" customWidth="1"/>
    <col min="3342" max="3342" width="7.42578125" style="244" customWidth="1"/>
    <col min="3343" max="3344" width="4.5703125" style="244" customWidth="1"/>
    <col min="3345" max="3345" width="7" style="244" customWidth="1"/>
    <col min="3346" max="3346" width="8.140625" style="244" customWidth="1"/>
    <col min="3347" max="3347" width="8" style="244" customWidth="1"/>
    <col min="3348" max="3348" width="7.140625" style="244" customWidth="1"/>
    <col min="3349" max="3349" width="6.5703125" style="244" customWidth="1"/>
    <col min="3350" max="3350" width="4.5703125" style="244" customWidth="1"/>
    <col min="3351" max="3351" width="7.85546875" style="244" customWidth="1"/>
    <col min="3352" max="3352" width="8.140625" style="244" customWidth="1"/>
    <col min="3353" max="3356" width="4.5703125" style="244" customWidth="1"/>
    <col min="3357" max="3357" width="11.5703125" style="244"/>
    <col min="3358" max="3358" width="8.42578125" style="244" customWidth="1"/>
    <col min="3359" max="3359" width="5.42578125" style="244" customWidth="1"/>
    <col min="3360" max="3361" width="5.140625" style="244" customWidth="1"/>
    <col min="3362" max="3362" width="6.42578125" style="244" customWidth="1"/>
    <col min="3363" max="3363" width="11.5703125" style="244"/>
    <col min="3364" max="3364" width="8.42578125" style="244" customWidth="1"/>
    <col min="3365" max="3365" width="3.140625" style="244" customWidth="1"/>
    <col min="3366" max="3366" width="5.140625" style="244" customWidth="1"/>
    <col min="3367" max="3367" width="7.42578125" style="244" customWidth="1"/>
    <col min="3368" max="3368" width="4.5703125" style="244" customWidth="1"/>
    <col min="3369" max="3584" width="11.5703125" style="244"/>
    <col min="3585" max="3585" width="1.85546875" style="244" customWidth="1"/>
    <col min="3586" max="3586" width="22.28515625" style="244" customWidth="1"/>
    <col min="3587" max="3588" width="4.5703125" style="244" customWidth="1"/>
    <col min="3589" max="3589" width="7.140625" style="244" customWidth="1"/>
    <col min="3590" max="3590" width="7.85546875" style="244" customWidth="1"/>
    <col min="3591" max="3591" width="4.5703125" style="244" customWidth="1"/>
    <col min="3592" max="3592" width="8.140625" style="244" customWidth="1"/>
    <col min="3593" max="3593" width="27.140625" style="244" customWidth="1"/>
    <col min="3594" max="3594" width="7.140625" style="244" customWidth="1"/>
    <col min="3595" max="3596" width="8.5703125" style="244" customWidth="1"/>
    <col min="3597" max="3597" width="4.5703125" style="244" customWidth="1"/>
    <col min="3598" max="3598" width="7.42578125" style="244" customWidth="1"/>
    <col min="3599" max="3600" width="4.5703125" style="244" customWidth="1"/>
    <col min="3601" max="3601" width="7" style="244" customWidth="1"/>
    <col min="3602" max="3602" width="8.140625" style="244" customWidth="1"/>
    <col min="3603" max="3603" width="8" style="244" customWidth="1"/>
    <col min="3604" max="3604" width="7.140625" style="244" customWidth="1"/>
    <col min="3605" max="3605" width="6.5703125" style="244" customWidth="1"/>
    <col min="3606" max="3606" width="4.5703125" style="244" customWidth="1"/>
    <col min="3607" max="3607" width="7.85546875" style="244" customWidth="1"/>
    <col min="3608" max="3608" width="8.140625" style="244" customWidth="1"/>
    <col min="3609" max="3612" width="4.5703125" style="244" customWidth="1"/>
    <col min="3613" max="3613" width="11.5703125" style="244"/>
    <col min="3614" max="3614" width="8.42578125" style="244" customWidth="1"/>
    <col min="3615" max="3615" width="5.42578125" style="244" customWidth="1"/>
    <col min="3616" max="3617" width="5.140625" style="244" customWidth="1"/>
    <col min="3618" max="3618" width="6.42578125" style="244" customWidth="1"/>
    <col min="3619" max="3619" width="11.5703125" style="244"/>
    <col min="3620" max="3620" width="8.42578125" style="244" customWidth="1"/>
    <col min="3621" max="3621" width="3.140625" style="244" customWidth="1"/>
    <col min="3622" max="3622" width="5.140625" style="244" customWidth="1"/>
    <col min="3623" max="3623" width="7.42578125" style="244" customWidth="1"/>
    <col min="3624" max="3624" width="4.5703125" style="244" customWidth="1"/>
    <col min="3625" max="3840" width="11.5703125" style="244"/>
    <col min="3841" max="3841" width="1.85546875" style="244" customWidth="1"/>
    <col min="3842" max="3842" width="22.28515625" style="244" customWidth="1"/>
    <col min="3843" max="3844" width="4.5703125" style="244" customWidth="1"/>
    <col min="3845" max="3845" width="7.140625" style="244" customWidth="1"/>
    <col min="3846" max="3846" width="7.85546875" style="244" customWidth="1"/>
    <col min="3847" max="3847" width="4.5703125" style="244" customWidth="1"/>
    <col min="3848" max="3848" width="8.140625" style="244" customWidth="1"/>
    <col min="3849" max="3849" width="27.140625" style="244" customWidth="1"/>
    <col min="3850" max="3850" width="7.140625" style="244" customWidth="1"/>
    <col min="3851" max="3852" width="8.5703125" style="244" customWidth="1"/>
    <col min="3853" max="3853" width="4.5703125" style="244" customWidth="1"/>
    <col min="3854" max="3854" width="7.42578125" style="244" customWidth="1"/>
    <col min="3855" max="3856" width="4.5703125" style="244" customWidth="1"/>
    <col min="3857" max="3857" width="7" style="244" customWidth="1"/>
    <col min="3858" max="3858" width="8.140625" style="244" customWidth="1"/>
    <col min="3859" max="3859" width="8" style="244" customWidth="1"/>
    <col min="3860" max="3860" width="7.140625" style="244" customWidth="1"/>
    <col min="3861" max="3861" width="6.5703125" style="244" customWidth="1"/>
    <col min="3862" max="3862" width="4.5703125" style="244" customWidth="1"/>
    <col min="3863" max="3863" width="7.85546875" style="244" customWidth="1"/>
    <col min="3864" max="3864" width="8.140625" style="244" customWidth="1"/>
    <col min="3865" max="3868" width="4.5703125" style="244" customWidth="1"/>
    <col min="3869" max="3869" width="11.5703125" style="244"/>
    <col min="3870" max="3870" width="8.42578125" style="244" customWidth="1"/>
    <col min="3871" max="3871" width="5.42578125" style="244" customWidth="1"/>
    <col min="3872" max="3873" width="5.140625" style="244" customWidth="1"/>
    <col min="3874" max="3874" width="6.42578125" style="244" customWidth="1"/>
    <col min="3875" max="3875" width="11.5703125" style="244"/>
    <col min="3876" max="3876" width="8.42578125" style="244" customWidth="1"/>
    <col min="3877" max="3877" width="3.140625" style="244" customWidth="1"/>
    <col min="3878" max="3878" width="5.140625" style="244" customWidth="1"/>
    <col min="3879" max="3879" width="7.42578125" style="244" customWidth="1"/>
    <col min="3880" max="3880" width="4.5703125" style="244" customWidth="1"/>
    <col min="3881" max="4096" width="11.5703125" style="244"/>
    <col min="4097" max="4097" width="1.85546875" style="244" customWidth="1"/>
    <col min="4098" max="4098" width="22.28515625" style="244" customWidth="1"/>
    <col min="4099" max="4100" width="4.5703125" style="244" customWidth="1"/>
    <col min="4101" max="4101" width="7.140625" style="244" customWidth="1"/>
    <col min="4102" max="4102" width="7.85546875" style="244" customWidth="1"/>
    <col min="4103" max="4103" width="4.5703125" style="244" customWidth="1"/>
    <col min="4104" max="4104" width="8.140625" style="244" customWidth="1"/>
    <col min="4105" max="4105" width="27.140625" style="244" customWidth="1"/>
    <col min="4106" max="4106" width="7.140625" style="244" customWidth="1"/>
    <col min="4107" max="4108" width="8.5703125" style="244" customWidth="1"/>
    <col min="4109" max="4109" width="4.5703125" style="244" customWidth="1"/>
    <col min="4110" max="4110" width="7.42578125" style="244" customWidth="1"/>
    <col min="4111" max="4112" width="4.5703125" style="244" customWidth="1"/>
    <col min="4113" max="4113" width="7" style="244" customWidth="1"/>
    <col min="4114" max="4114" width="8.140625" style="244" customWidth="1"/>
    <col min="4115" max="4115" width="8" style="244" customWidth="1"/>
    <col min="4116" max="4116" width="7.140625" style="244" customWidth="1"/>
    <col min="4117" max="4117" width="6.5703125" style="244" customWidth="1"/>
    <col min="4118" max="4118" width="4.5703125" style="244" customWidth="1"/>
    <col min="4119" max="4119" width="7.85546875" style="244" customWidth="1"/>
    <col min="4120" max="4120" width="8.140625" style="244" customWidth="1"/>
    <col min="4121" max="4124" width="4.5703125" style="244" customWidth="1"/>
    <col min="4125" max="4125" width="11.5703125" style="244"/>
    <col min="4126" max="4126" width="8.42578125" style="244" customWidth="1"/>
    <col min="4127" max="4127" width="5.42578125" style="244" customWidth="1"/>
    <col min="4128" max="4129" width="5.140625" style="244" customWidth="1"/>
    <col min="4130" max="4130" width="6.42578125" style="244" customWidth="1"/>
    <col min="4131" max="4131" width="11.5703125" style="244"/>
    <col min="4132" max="4132" width="8.42578125" style="244" customWidth="1"/>
    <col min="4133" max="4133" width="3.140625" style="244" customWidth="1"/>
    <col min="4134" max="4134" width="5.140625" style="244" customWidth="1"/>
    <col min="4135" max="4135" width="7.42578125" style="244" customWidth="1"/>
    <col min="4136" max="4136" width="4.5703125" style="244" customWidth="1"/>
    <col min="4137" max="4352" width="11.5703125" style="244"/>
    <col min="4353" max="4353" width="1.85546875" style="244" customWidth="1"/>
    <col min="4354" max="4354" width="22.28515625" style="244" customWidth="1"/>
    <col min="4355" max="4356" width="4.5703125" style="244" customWidth="1"/>
    <col min="4357" max="4357" width="7.140625" style="244" customWidth="1"/>
    <col min="4358" max="4358" width="7.85546875" style="244" customWidth="1"/>
    <col min="4359" max="4359" width="4.5703125" style="244" customWidth="1"/>
    <col min="4360" max="4360" width="8.140625" style="244" customWidth="1"/>
    <col min="4361" max="4361" width="27.140625" style="244" customWidth="1"/>
    <col min="4362" max="4362" width="7.140625" style="244" customWidth="1"/>
    <col min="4363" max="4364" width="8.5703125" style="244" customWidth="1"/>
    <col min="4365" max="4365" width="4.5703125" style="244" customWidth="1"/>
    <col min="4366" max="4366" width="7.42578125" style="244" customWidth="1"/>
    <col min="4367" max="4368" width="4.5703125" style="244" customWidth="1"/>
    <col min="4369" max="4369" width="7" style="244" customWidth="1"/>
    <col min="4370" max="4370" width="8.140625" style="244" customWidth="1"/>
    <col min="4371" max="4371" width="8" style="244" customWidth="1"/>
    <col min="4372" max="4372" width="7.140625" style="244" customWidth="1"/>
    <col min="4373" max="4373" width="6.5703125" style="244" customWidth="1"/>
    <col min="4374" max="4374" width="4.5703125" style="244" customWidth="1"/>
    <col min="4375" max="4375" width="7.85546875" style="244" customWidth="1"/>
    <col min="4376" max="4376" width="8.140625" style="244" customWidth="1"/>
    <col min="4377" max="4380" width="4.5703125" style="244" customWidth="1"/>
    <col min="4381" max="4381" width="11.5703125" style="244"/>
    <col min="4382" max="4382" width="8.42578125" style="244" customWidth="1"/>
    <col min="4383" max="4383" width="5.42578125" style="244" customWidth="1"/>
    <col min="4384" max="4385" width="5.140625" style="244" customWidth="1"/>
    <col min="4386" max="4386" width="6.42578125" style="244" customWidth="1"/>
    <col min="4387" max="4387" width="11.5703125" style="244"/>
    <col min="4388" max="4388" width="8.42578125" style="244" customWidth="1"/>
    <col min="4389" max="4389" width="3.140625" style="244" customWidth="1"/>
    <col min="4390" max="4390" width="5.140625" style="244" customWidth="1"/>
    <col min="4391" max="4391" width="7.42578125" style="244" customWidth="1"/>
    <col min="4392" max="4392" width="4.5703125" style="244" customWidth="1"/>
    <col min="4393" max="4608" width="11.5703125" style="244"/>
    <col min="4609" max="4609" width="1.85546875" style="244" customWidth="1"/>
    <col min="4610" max="4610" width="22.28515625" style="244" customWidth="1"/>
    <col min="4611" max="4612" width="4.5703125" style="244" customWidth="1"/>
    <col min="4613" max="4613" width="7.140625" style="244" customWidth="1"/>
    <col min="4614" max="4614" width="7.85546875" style="244" customWidth="1"/>
    <col min="4615" max="4615" width="4.5703125" style="244" customWidth="1"/>
    <col min="4616" max="4616" width="8.140625" style="244" customWidth="1"/>
    <col min="4617" max="4617" width="27.140625" style="244" customWidth="1"/>
    <col min="4618" max="4618" width="7.140625" style="244" customWidth="1"/>
    <col min="4619" max="4620" width="8.5703125" style="244" customWidth="1"/>
    <col min="4621" max="4621" width="4.5703125" style="244" customWidth="1"/>
    <col min="4622" max="4622" width="7.42578125" style="244" customWidth="1"/>
    <col min="4623" max="4624" width="4.5703125" style="244" customWidth="1"/>
    <col min="4625" max="4625" width="7" style="244" customWidth="1"/>
    <col min="4626" max="4626" width="8.140625" style="244" customWidth="1"/>
    <col min="4627" max="4627" width="8" style="244" customWidth="1"/>
    <col min="4628" max="4628" width="7.140625" style="244" customWidth="1"/>
    <col min="4629" max="4629" width="6.5703125" style="244" customWidth="1"/>
    <col min="4630" max="4630" width="4.5703125" style="244" customWidth="1"/>
    <col min="4631" max="4631" width="7.85546875" style="244" customWidth="1"/>
    <col min="4632" max="4632" width="8.140625" style="244" customWidth="1"/>
    <col min="4633" max="4636" width="4.5703125" style="244" customWidth="1"/>
    <col min="4637" max="4637" width="11.5703125" style="244"/>
    <col min="4638" max="4638" width="8.42578125" style="244" customWidth="1"/>
    <col min="4639" max="4639" width="5.42578125" style="244" customWidth="1"/>
    <col min="4640" max="4641" width="5.140625" style="244" customWidth="1"/>
    <col min="4642" max="4642" width="6.42578125" style="244" customWidth="1"/>
    <col min="4643" max="4643" width="11.5703125" style="244"/>
    <col min="4644" max="4644" width="8.42578125" style="244" customWidth="1"/>
    <col min="4645" max="4645" width="3.140625" style="244" customWidth="1"/>
    <col min="4646" max="4646" width="5.140625" style="244" customWidth="1"/>
    <col min="4647" max="4647" width="7.42578125" style="244" customWidth="1"/>
    <col min="4648" max="4648" width="4.5703125" style="244" customWidth="1"/>
    <col min="4649" max="4864" width="11.5703125" style="244"/>
    <col min="4865" max="4865" width="1.85546875" style="244" customWidth="1"/>
    <col min="4866" max="4866" width="22.28515625" style="244" customWidth="1"/>
    <col min="4867" max="4868" width="4.5703125" style="244" customWidth="1"/>
    <col min="4869" max="4869" width="7.140625" style="244" customWidth="1"/>
    <col min="4870" max="4870" width="7.85546875" style="244" customWidth="1"/>
    <col min="4871" max="4871" width="4.5703125" style="244" customWidth="1"/>
    <col min="4872" max="4872" width="8.140625" style="244" customWidth="1"/>
    <col min="4873" max="4873" width="27.140625" style="244" customWidth="1"/>
    <col min="4874" max="4874" width="7.140625" style="244" customWidth="1"/>
    <col min="4875" max="4876" width="8.5703125" style="244" customWidth="1"/>
    <col min="4877" max="4877" width="4.5703125" style="244" customWidth="1"/>
    <col min="4878" max="4878" width="7.42578125" style="244" customWidth="1"/>
    <col min="4879" max="4880" width="4.5703125" style="244" customWidth="1"/>
    <col min="4881" max="4881" width="7" style="244" customWidth="1"/>
    <col min="4882" max="4882" width="8.140625" style="244" customWidth="1"/>
    <col min="4883" max="4883" width="8" style="244" customWidth="1"/>
    <col min="4884" max="4884" width="7.140625" style="244" customWidth="1"/>
    <col min="4885" max="4885" width="6.5703125" style="244" customWidth="1"/>
    <col min="4886" max="4886" width="4.5703125" style="244" customWidth="1"/>
    <col min="4887" max="4887" width="7.85546875" style="244" customWidth="1"/>
    <col min="4888" max="4888" width="8.140625" style="244" customWidth="1"/>
    <col min="4889" max="4892" width="4.5703125" style="244" customWidth="1"/>
    <col min="4893" max="4893" width="11.5703125" style="244"/>
    <col min="4894" max="4894" width="8.42578125" style="244" customWidth="1"/>
    <col min="4895" max="4895" width="5.42578125" style="244" customWidth="1"/>
    <col min="4896" max="4897" width="5.140625" style="244" customWidth="1"/>
    <col min="4898" max="4898" width="6.42578125" style="244" customWidth="1"/>
    <col min="4899" max="4899" width="11.5703125" style="244"/>
    <col min="4900" max="4900" width="8.42578125" style="244" customWidth="1"/>
    <col min="4901" max="4901" width="3.140625" style="244" customWidth="1"/>
    <col min="4902" max="4902" width="5.140625" style="244" customWidth="1"/>
    <col min="4903" max="4903" width="7.42578125" style="244" customWidth="1"/>
    <col min="4904" max="4904" width="4.5703125" style="244" customWidth="1"/>
    <col min="4905" max="5120" width="11.5703125" style="244"/>
    <col min="5121" max="5121" width="1.85546875" style="244" customWidth="1"/>
    <col min="5122" max="5122" width="22.28515625" style="244" customWidth="1"/>
    <col min="5123" max="5124" width="4.5703125" style="244" customWidth="1"/>
    <col min="5125" max="5125" width="7.140625" style="244" customWidth="1"/>
    <col min="5126" max="5126" width="7.85546875" style="244" customWidth="1"/>
    <col min="5127" max="5127" width="4.5703125" style="244" customWidth="1"/>
    <col min="5128" max="5128" width="8.140625" style="244" customWidth="1"/>
    <col min="5129" max="5129" width="27.140625" style="244" customWidth="1"/>
    <col min="5130" max="5130" width="7.140625" style="244" customWidth="1"/>
    <col min="5131" max="5132" width="8.5703125" style="244" customWidth="1"/>
    <col min="5133" max="5133" width="4.5703125" style="244" customWidth="1"/>
    <col min="5134" max="5134" width="7.42578125" style="244" customWidth="1"/>
    <col min="5135" max="5136" width="4.5703125" style="244" customWidth="1"/>
    <col min="5137" max="5137" width="7" style="244" customWidth="1"/>
    <col min="5138" max="5138" width="8.140625" style="244" customWidth="1"/>
    <col min="5139" max="5139" width="8" style="244" customWidth="1"/>
    <col min="5140" max="5140" width="7.140625" style="244" customWidth="1"/>
    <col min="5141" max="5141" width="6.5703125" style="244" customWidth="1"/>
    <col min="5142" max="5142" width="4.5703125" style="244" customWidth="1"/>
    <col min="5143" max="5143" width="7.85546875" style="244" customWidth="1"/>
    <col min="5144" max="5144" width="8.140625" style="244" customWidth="1"/>
    <col min="5145" max="5148" width="4.5703125" style="244" customWidth="1"/>
    <col min="5149" max="5149" width="11.5703125" style="244"/>
    <col min="5150" max="5150" width="8.42578125" style="244" customWidth="1"/>
    <col min="5151" max="5151" width="5.42578125" style="244" customWidth="1"/>
    <col min="5152" max="5153" width="5.140625" style="244" customWidth="1"/>
    <col min="5154" max="5154" width="6.42578125" style="244" customWidth="1"/>
    <col min="5155" max="5155" width="11.5703125" style="244"/>
    <col min="5156" max="5156" width="8.42578125" style="244" customWidth="1"/>
    <col min="5157" max="5157" width="3.140625" style="244" customWidth="1"/>
    <col min="5158" max="5158" width="5.140625" style="244" customWidth="1"/>
    <col min="5159" max="5159" width="7.42578125" style="244" customWidth="1"/>
    <col min="5160" max="5160" width="4.5703125" style="244" customWidth="1"/>
    <col min="5161" max="5376" width="11.5703125" style="244"/>
    <col min="5377" max="5377" width="1.85546875" style="244" customWidth="1"/>
    <col min="5378" max="5378" width="22.28515625" style="244" customWidth="1"/>
    <col min="5379" max="5380" width="4.5703125" style="244" customWidth="1"/>
    <col min="5381" max="5381" width="7.140625" style="244" customWidth="1"/>
    <col min="5382" max="5382" width="7.85546875" style="244" customWidth="1"/>
    <col min="5383" max="5383" width="4.5703125" style="244" customWidth="1"/>
    <col min="5384" max="5384" width="8.140625" style="244" customWidth="1"/>
    <col min="5385" max="5385" width="27.140625" style="244" customWidth="1"/>
    <col min="5386" max="5386" width="7.140625" style="244" customWidth="1"/>
    <col min="5387" max="5388" width="8.5703125" style="244" customWidth="1"/>
    <col min="5389" max="5389" width="4.5703125" style="244" customWidth="1"/>
    <col min="5390" max="5390" width="7.42578125" style="244" customWidth="1"/>
    <col min="5391" max="5392" width="4.5703125" style="244" customWidth="1"/>
    <col min="5393" max="5393" width="7" style="244" customWidth="1"/>
    <col min="5394" max="5394" width="8.140625" style="244" customWidth="1"/>
    <col min="5395" max="5395" width="8" style="244" customWidth="1"/>
    <col min="5396" max="5396" width="7.140625" style="244" customWidth="1"/>
    <col min="5397" max="5397" width="6.5703125" style="244" customWidth="1"/>
    <col min="5398" max="5398" width="4.5703125" style="244" customWidth="1"/>
    <col min="5399" max="5399" width="7.85546875" style="244" customWidth="1"/>
    <col min="5400" max="5400" width="8.140625" style="244" customWidth="1"/>
    <col min="5401" max="5404" width="4.5703125" style="244" customWidth="1"/>
    <col min="5405" max="5405" width="11.5703125" style="244"/>
    <col min="5406" max="5406" width="8.42578125" style="244" customWidth="1"/>
    <col min="5407" max="5407" width="5.42578125" style="244" customWidth="1"/>
    <col min="5408" max="5409" width="5.140625" style="244" customWidth="1"/>
    <col min="5410" max="5410" width="6.42578125" style="244" customWidth="1"/>
    <col min="5411" max="5411" width="11.5703125" style="244"/>
    <col min="5412" max="5412" width="8.42578125" style="244" customWidth="1"/>
    <col min="5413" max="5413" width="3.140625" style="244" customWidth="1"/>
    <col min="5414" max="5414" width="5.140625" style="244" customWidth="1"/>
    <col min="5415" max="5415" width="7.42578125" style="244" customWidth="1"/>
    <col min="5416" max="5416" width="4.5703125" style="244" customWidth="1"/>
    <col min="5417" max="5632" width="11.5703125" style="244"/>
    <col min="5633" max="5633" width="1.85546875" style="244" customWidth="1"/>
    <col min="5634" max="5634" width="22.28515625" style="244" customWidth="1"/>
    <col min="5635" max="5636" width="4.5703125" style="244" customWidth="1"/>
    <col min="5637" max="5637" width="7.140625" style="244" customWidth="1"/>
    <col min="5638" max="5638" width="7.85546875" style="244" customWidth="1"/>
    <col min="5639" max="5639" width="4.5703125" style="244" customWidth="1"/>
    <col min="5640" max="5640" width="8.140625" style="244" customWidth="1"/>
    <col min="5641" max="5641" width="27.140625" style="244" customWidth="1"/>
    <col min="5642" max="5642" width="7.140625" style="244" customWidth="1"/>
    <col min="5643" max="5644" width="8.5703125" style="244" customWidth="1"/>
    <col min="5645" max="5645" width="4.5703125" style="244" customWidth="1"/>
    <col min="5646" max="5646" width="7.42578125" style="244" customWidth="1"/>
    <col min="5647" max="5648" width="4.5703125" style="244" customWidth="1"/>
    <col min="5649" max="5649" width="7" style="244" customWidth="1"/>
    <col min="5650" max="5650" width="8.140625" style="244" customWidth="1"/>
    <col min="5651" max="5651" width="8" style="244" customWidth="1"/>
    <col min="5652" max="5652" width="7.140625" style="244" customWidth="1"/>
    <col min="5653" max="5653" width="6.5703125" style="244" customWidth="1"/>
    <col min="5654" max="5654" width="4.5703125" style="244" customWidth="1"/>
    <col min="5655" max="5655" width="7.85546875" style="244" customWidth="1"/>
    <col min="5656" max="5656" width="8.140625" style="244" customWidth="1"/>
    <col min="5657" max="5660" width="4.5703125" style="244" customWidth="1"/>
    <col min="5661" max="5661" width="11.5703125" style="244"/>
    <col min="5662" max="5662" width="8.42578125" style="244" customWidth="1"/>
    <col min="5663" max="5663" width="5.42578125" style="244" customWidth="1"/>
    <col min="5664" max="5665" width="5.140625" style="244" customWidth="1"/>
    <col min="5666" max="5666" width="6.42578125" style="244" customWidth="1"/>
    <col min="5667" max="5667" width="11.5703125" style="244"/>
    <col min="5668" max="5668" width="8.42578125" style="244" customWidth="1"/>
    <col min="5669" max="5669" width="3.140625" style="244" customWidth="1"/>
    <col min="5670" max="5670" width="5.140625" style="244" customWidth="1"/>
    <col min="5671" max="5671" width="7.42578125" style="244" customWidth="1"/>
    <col min="5672" max="5672" width="4.5703125" style="244" customWidth="1"/>
    <col min="5673" max="5888" width="11.5703125" style="244"/>
    <col min="5889" max="5889" width="1.85546875" style="244" customWidth="1"/>
    <col min="5890" max="5890" width="22.28515625" style="244" customWidth="1"/>
    <col min="5891" max="5892" width="4.5703125" style="244" customWidth="1"/>
    <col min="5893" max="5893" width="7.140625" style="244" customWidth="1"/>
    <col min="5894" max="5894" width="7.85546875" style="244" customWidth="1"/>
    <col min="5895" max="5895" width="4.5703125" style="244" customWidth="1"/>
    <col min="5896" max="5896" width="8.140625" style="244" customWidth="1"/>
    <col min="5897" max="5897" width="27.140625" style="244" customWidth="1"/>
    <col min="5898" max="5898" width="7.140625" style="244" customWidth="1"/>
    <col min="5899" max="5900" width="8.5703125" style="244" customWidth="1"/>
    <col min="5901" max="5901" width="4.5703125" style="244" customWidth="1"/>
    <col min="5902" max="5902" width="7.42578125" style="244" customWidth="1"/>
    <col min="5903" max="5904" width="4.5703125" style="244" customWidth="1"/>
    <col min="5905" max="5905" width="7" style="244" customWidth="1"/>
    <col min="5906" max="5906" width="8.140625" style="244" customWidth="1"/>
    <col min="5907" max="5907" width="8" style="244" customWidth="1"/>
    <col min="5908" max="5908" width="7.140625" style="244" customWidth="1"/>
    <col min="5909" max="5909" width="6.5703125" style="244" customWidth="1"/>
    <col min="5910" max="5910" width="4.5703125" style="244" customWidth="1"/>
    <col min="5911" max="5911" width="7.85546875" style="244" customWidth="1"/>
    <col min="5912" max="5912" width="8.140625" style="244" customWidth="1"/>
    <col min="5913" max="5916" width="4.5703125" style="244" customWidth="1"/>
    <col min="5917" max="5917" width="11.5703125" style="244"/>
    <col min="5918" max="5918" width="8.42578125" style="244" customWidth="1"/>
    <col min="5919" max="5919" width="5.42578125" style="244" customWidth="1"/>
    <col min="5920" max="5921" width="5.140625" style="244" customWidth="1"/>
    <col min="5922" max="5922" width="6.42578125" style="244" customWidth="1"/>
    <col min="5923" max="5923" width="11.5703125" style="244"/>
    <col min="5924" max="5924" width="8.42578125" style="244" customWidth="1"/>
    <col min="5925" max="5925" width="3.140625" style="244" customWidth="1"/>
    <col min="5926" max="5926" width="5.140625" style="244" customWidth="1"/>
    <col min="5927" max="5927" width="7.42578125" style="244" customWidth="1"/>
    <col min="5928" max="5928" width="4.5703125" style="244" customWidth="1"/>
    <col min="5929" max="6144" width="11.5703125" style="244"/>
    <col min="6145" max="6145" width="1.85546875" style="244" customWidth="1"/>
    <col min="6146" max="6146" width="22.28515625" style="244" customWidth="1"/>
    <col min="6147" max="6148" width="4.5703125" style="244" customWidth="1"/>
    <col min="6149" max="6149" width="7.140625" style="244" customWidth="1"/>
    <col min="6150" max="6150" width="7.85546875" style="244" customWidth="1"/>
    <col min="6151" max="6151" width="4.5703125" style="244" customWidth="1"/>
    <col min="6152" max="6152" width="8.140625" style="244" customWidth="1"/>
    <col min="6153" max="6153" width="27.140625" style="244" customWidth="1"/>
    <col min="6154" max="6154" width="7.140625" style="244" customWidth="1"/>
    <col min="6155" max="6156" width="8.5703125" style="244" customWidth="1"/>
    <col min="6157" max="6157" width="4.5703125" style="244" customWidth="1"/>
    <col min="6158" max="6158" width="7.42578125" style="244" customWidth="1"/>
    <col min="6159" max="6160" width="4.5703125" style="244" customWidth="1"/>
    <col min="6161" max="6161" width="7" style="244" customWidth="1"/>
    <col min="6162" max="6162" width="8.140625" style="244" customWidth="1"/>
    <col min="6163" max="6163" width="8" style="244" customWidth="1"/>
    <col min="6164" max="6164" width="7.140625" style="244" customWidth="1"/>
    <col min="6165" max="6165" width="6.5703125" style="244" customWidth="1"/>
    <col min="6166" max="6166" width="4.5703125" style="244" customWidth="1"/>
    <col min="6167" max="6167" width="7.85546875" style="244" customWidth="1"/>
    <col min="6168" max="6168" width="8.140625" style="244" customWidth="1"/>
    <col min="6169" max="6172" width="4.5703125" style="244" customWidth="1"/>
    <col min="6173" max="6173" width="11.5703125" style="244"/>
    <col min="6174" max="6174" width="8.42578125" style="244" customWidth="1"/>
    <col min="6175" max="6175" width="5.42578125" style="244" customWidth="1"/>
    <col min="6176" max="6177" width="5.140625" style="244" customWidth="1"/>
    <col min="6178" max="6178" width="6.42578125" style="244" customWidth="1"/>
    <col min="6179" max="6179" width="11.5703125" style="244"/>
    <col min="6180" max="6180" width="8.42578125" style="244" customWidth="1"/>
    <col min="6181" max="6181" width="3.140625" style="244" customWidth="1"/>
    <col min="6182" max="6182" width="5.140625" style="244" customWidth="1"/>
    <col min="6183" max="6183" width="7.42578125" style="244" customWidth="1"/>
    <col min="6184" max="6184" width="4.5703125" style="244" customWidth="1"/>
    <col min="6185" max="6400" width="11.5703125" style="244"/>
    <col min="6401" max="6401" width="1.85546875" style="244" customWidth="1"/>
    <col min="6402" max="6402" width="22.28515625" style="244" customWidth="1"/>
    <col min="6403" max="6404" width="4.5703125" style="244" customWidth="1"/>
    <col min="6405" max="6405" width="7.140625" style="244" customWidth="1"/>
    <col min="6406" max="6406" width="7.85546875" style="244" customWidth="1"/>
    <col min="6407" max="6407" width="4.5703125" style="244" customWidth="1"/>
    <col min="6408" max="6408" width="8.140625" style="244" customWidth="1"/>
    <col min="6409" max="6409" width="27.140625" style="244" customWidth="1"/>
    <col min="6410" max="6410" width="7.140625" style="244" customWidth="1"/>
    <col min="6411" max="6412" width="8.5703125" style="244" customWidth="1"/>
    <col min="6413" max="6413" width="4.5703125" style="244" customWidth="1"/>
    <col min="6414" max="6414" width="7.42578125" style="244" customWidth="1"/>
    <col min="6415" max="6416" width="4.5703125" style="244" customWidth="1"/>
    <col min="6417" max="6417" width="7" style="244" customWidth="1"/>
    <col min="6418" max="6418" width="8.140625" style="244" customWidth="1"/>
    <col min="6419" max="6419" width="8" style="244" customWidth="1"/>
    <col min="6420" max="6420" width="7.140625" style="244" customWidth="1"/>
    <col min="6421" max="6421" width="6.5703125" style="244" customWidth="1"/>
    <col min="6422" max="6422" width="4.5703125" style="244" customWidth="1"/>
    <col min="6423" max="6423" width="7.85546875" style="244" customWidth="1"/>
    <col min="6424" max="6424" width="8.140625" style="244" customWidth="1"/>
    <col min="6425" max="6428" width="4.5703125" style="244" customWidth="1"/>
    <col min="6429" max="6429" width="11.5703125" style="244"/>
    <col min="6430" max="6430" width="8.42578125" style="244" customWidth="1"/>
    <col min="6431" max="6431" width="5.42578125" style="244" customWidth="1"/>
    <col min="6432" max="6433" width="5.140625" style="244" customWidth="1"/>
    <col min="6434" max="6434" width="6.42578125" style="244" customWidth="1"/>
    <col min="6435" max="6435" width="11.5703125" style="244"/>
    <col min="6436" max="6436" width="8.42578125" style="244" customWidth="1"/>
    <col min="6437" max="6437" width="3.140625" style="244" customWidth="1"/>
    <col min="6438" max="6438" width="5.140625" style="244" customWidth="1"/>
    <col min="6439" max="6439" width="7.42578125" style="244" customWidth="1"/>
    <col min="6440" max="6440" width="4.5703125" style="244" customWidth="1"/>
    <col min="6441" max="6656" width="11.5703125" style="244"/>
    <col min="6657" max="6657" width="1.85546875" style="244" customWidth="1"/>
    <col min="6658" max="6658" width="22.28515625" style="244" customWidth="1"/>
    <col min="6659" max="6660" width="4.5703125" style="244" customWidth="1"/>
    <col min="6661" max="6661" width="7.140625" style="244" customWidth="1"/>
    <col min="6662" max="6662" width="7.85546875" style="244" customWidth="1"/>
    <col min="6663" max="6663" width="4.5703125" style="244" customWidth="1"/>
    <col min="6664" max="6664" width="8.140625" style="244" customWidth="1"/>
    <col min="6665" max="6665" width="27.140625" style="244" customWidth="1"/>
    <col min="6666" max="6666" width="7.140625" style="244" customWidth="1"/>
    <col min="6667" max="6668" width="8.5703125" style="244" customWidth="1"/>
    <col min="6669" max="6669" width="4.5703125" style="244" customWidth="1"/>
    <col min="6670" max="6670" width="7.42578125" style="244" customWidth="1"/>
    <col min="6671" max="6672" width="4.5703125" style="244" customWidth="1"/>
    <col min="6673" max="6673" width="7" style="244" customWidth="1"/>
    <col min="6674" max="6674" width="8.140625" style="244" customWidth="1"/>
    <col min="6675" max="6675" width="8" style="244" customWidth="1"/>
    <col min="6676" max="6676" width="7.140625" style="244" customWidth="1"/>
    <col min="6677" max="6677" width="6.5703125" style="244" customWidth="1"/>
    <col min="6678" max="6678" width="4.5703125" style="244" customWidth="1"/>
    <col min="6679" max="6679" width="7.85546875" style="244" customWidth="1"/>
    <col min="6680" max="6680" width="8.140625" style="244" customWidth="1"/>
    <col min="6681" max="6684" width="4.5703125" style="244" customWidth="1"/>
    <col min="6685" max="6685" width="11.5703125" style="244"/>
    <col min="6686" max="6686" width="8.42578125" style="244" customWidth="1"/>
    <col min="6687" max="6687" width="5.42578125" style="244" customWidth="1"/>
    <col min="6688" max="6689" width="5.140625" style="244" customWidth="1"/>
    <col min="6690" max="6690" width="6.42578125" style="244" customWidth="1"/>
    <col min="6691" max="6691" width="11.5703125" style="244"/>
    <col min="6692" max="6692" width="8.42578125" style="244" customWidth="1"/>
    <col min="6693" max="6693" width="3.140625" style="244" customWidth="1"/>
    <col min="6694" max="6694" width="5.140625" style="244" customWidth="1"/>
    <col min="6695" max="6695" width="7.42578125" style="244" customWidth="1"/>
    <col min="6696" max="6696" width="4.5703125" style="244" customWidth="1"/>
    <col min="6697" max="6912" width="11.5703125" style="244"/>
    <col min="6913" max="6913" width="1.85546875" style="244" customWidth="1"/>
    <col min="6914" max="6914" width="22.28515625" style="244" customWidth="1"/>
    <col min="6915" max="6916" width="4.5703125" style="244" customWidth="1"/>
    <col min="6917" max="6917" width="7.140625" style="244" customWidth="1"/>
    <col min="6918" max="6918" width="7.85546875" style="244" customWidth="1"/>
    <col min="6919" max="6919" width="4.5703125" style="244" customWidth="1"/>
    <col min="6920" max="6920" width="8.140625" style="244" customWidth="1"/>
    <col min="6921" max="6921" width="27.140625" style="244" customWidth="1"/>
    <col min="6922" max="6922" width="7.140625" style="244" customWidth="1"/>
    <col min="6923" max="6924" width="8.5703125" style="244" customWidth="1"/>
    <col min="6925" max="6925" width="4.5703125" style="244" customWidth="1"/>
    <col min="6926" max="6926" width="7.42578125" style="244" customWidth="1"/>
    <col min="6927" max="6928" width="4.5703125" style="244" customWidth="1"/>
    <col min="6929" max="6929" width="7" style="244" customWidth="1"/>
    <col min="6930" max="6930" width="8.140625" style="244" customWidth="1"/>
    <col min="6931" max="6931" width="8" style="244" customWidth="1"/>
    <col min="6932" max="6932" width="7.140625" style="244" customWidth="1"/>
    <col min="6933" max="6933" width="6.5703125" style="244" customWidth="1"/>
    <col min="6934" max="6934" width="4.5703125" style="244" customWidth="1"/>
    <col min="6935" max="6935" width="7.85546875" style="244" customWidth="1"/>
    <col min="6936" max="6936" width="8.140625" style="244" customWidth="1"/>
    <col min="6937" max="6940" width="4.5703125" style="244" customWidth="1"/>
    <col min="6941" max="6941" width="11.5703125" style="244"/>
    <col min="6942" max="6942" width="8.42578125" style="244" customWidth="1"/>
    <col min="6943" max="6943" width="5.42578125" style="244" customWidth="1"/>
    <col min="6944" max="6945" width="5.140625" style="244" customWidth="1"/>
    <col min="6946" max="6946" width="6.42578125" style="244" customWidth="1"/>
    <col min="6947" max="6947" width="11.5703125" style="244"/>
    <col min="6948" max="6948" width="8.42578125" style="244" customWidth="1"/>
    <col min="6949" max="6949" width="3.140625" style="244" customWidth="1"/>
    <col min="6950" max="6950" width="5.140625" style="244" customWidth="1"/>
    <col min="6951" max="6951" width="7.42578125" style="244" customWidth="1"/>
    <col min="6952" max="6952" width="4.5703125" style="244" customWidth="1"/>
    <col min="6953" max="7168" width="11.5703125" style="244"/>
    <col min="7169" max="7169" width="1.85546875" style="244" customWidth="1"/>
    <col min="7170" max="7170" width="22.28515625" style="244" customWidth="1"/>
    <col min="7171" max="7172" width="4.5703125" style="244" customWidth="1"/>
    <col min="7173" max="7173" width="7.140625" style="244" customWidth="1"/>
    <col min="7174" max="7174" width="7.85546875" style="244" customWidth="1"/>
    <col min="7175" max="7175" width="4.5703125" style="244" customWidth="1"/>
    <col min="7176" max="7176" width="8.140625" style="244" customWidth="1"/>
    <col min="7177" max="7177" width="27.140625" style="244" customWidth="1"/>
    <col min="7178" max="7178" width="7.140625" style="244" customWidth="1"/>
    <col min="7179" max="7180" width="8.5703125" style="244" customWidth="1"/>
    <col min="7181" max="7181" width="4.5703125" style="244" customWidth="1"/>
    <col min="7182" max="7182" width="7.42578125" style="244" customWidth="1"/>
    <col min="7183" max="7184" width="4.5703125" style="244" customWidth="1"/>
    <col min="7185" max="7185" width="7" style="244" customWidth="1"/>
    <col min="7186" max="7186" width="8.140625" style="244" customWidth="1"/>
    <col min="7187" max="7187" width="8" style="244" customWidth="1"/>
    <col min="7188" max="7188" width="7.140625" style="244" customWidth="1"/>
    <col min="7189" max="7189" width="6.5703125" style="244" customWidth="1"/>
    <col min="7190" max="7190" width="4.5703125" style="244" customWidth="1"/>
    <col min="7191" max="7191" width="7.85546875" style="244" customWidth="1"/>
    <col min="7192" max="7192" width="8.140625" style="244" customWidth="1"/>
    <col min="7193" max="7196" width="4.5703125" style="244" customWidth="1"/>
    <col min="7197" max="7197" width="11.5703125" style="244"/>
    <col min="7198" max="7198" width="8.42578125" style="244" customWidth="1"/>
    <col min="7199" max="7199" width="5.42578125" style="244" customWidth="1"/>
    <col min="7200" max="7201" width="5.140625" style="244" customWidth="1"/>
    <col min="7202" max="7202" width="6.42578125" style="244" customWidth="1"/>
    <col min="7203" max="7203" width="11.5703125" style="244"/>
    <col min="7204" max="7204" width="8.42578125" style="244" customWidth="1"/>
    <col min="7205" max="7205" width="3.140625" style="244" customWidth="1"/>
    <col min="7206" max="7206" width="5.140625" style="244" customWidth="1"/>
    <col min="7207" max="7207" width="7.42578125" style="244" customWidth="1"/>
    <col min="7208" max="7208" width="4.5703125" style="244" customWidth="1"/>
    <col min="7209" max="7424" width="11.5703125" style="244"/>
    <col min="7425" max="7425" width="1.85546875" style="244" customWidth="1"/>
    <col min="7426" max="7426" width="22.28515625" style="244" customWidth="1"/>
    <col min="7427" max="7428" width="4.5703125" style="244" customWidth="1"/>
    <col min="7429" max="7429" width="7.140625" style="244" customWidth="1"/>
    <col min="7430" max="7430" width="7.85546875" style="244" customWidth="1"/>
    <col min="7431" max="7431" width="4.5703125" style="244" customWidth="1"/>
    <col min="7432" max="7432" width="8.140625" style="244" customWidth="1"/>
    <col min="7433" max="7433" width="27.140625" style="244" customWidth="1"/>
    <col min="7434" max="7434" width="7.140625" style="244" customWidth="1"/>
    <col min="7435" max="7436" width="8.5703125" style="244" customWidth="1"/>
    <col min="7437" max="7437" width="4.5703125" style="244" customWidth="1"/>
    <col min="7438" max="7438" width="7.42578125" style="244" customWidth="1"/>
    <col min="7439" max="7440" width="4.5703125" style="244" customWidth="1"/>
    <col min="7441" max="7441" width="7" style="244" customWidth="1"/>
    <col min="7442" max="7442" width="8.140625" style="244" customWidth="1"/>
    <col min="7443" max="7443" width="8" style="244" customWidth="1"/>
    <col min="7444" max="7444" width="7.140625" style="244" customWidth="1"/>
    <col min="7445" max="7445" width="6.5703125" style="244" customWidth="1"/>
    <col min="7446" max="7446" width="4.5703125" style="244" customWidth="1"/>
    <col min="7447" max="7447" width="7.85546875" style="244" customWidth="1"/>
    <col min="7448" max="7448" width="8.140625" style="244" customWidth="1"/>
    <col min="7449" max="7452" width="4.5703125" style="244" customWidth="1"/>
    <col min="7453" max="7453" width="11.5703125" style="244"/>
    <col min="7454" max="7454" width="8.42578125" style="244" customWidth="1"/>
    <col min="7455" max="7455" width="5.42578125" style="244" customWidth="1"/>
    <col min="7456" max="7457" width="5.140625" style="244" customWidth="1"/>
    <col min="7458" max="7458" width="6.42578125" style="244" customWidth="1"/>
    <col min="7459" max="7459" width="11.5703125" style="244"/>
    <col min="7460" max="7460" width="8.42578125" style="244" customWidth="1"/>
    <col min="7461" max="7461" width="3.140625" style="244" customWidth="1"/>
    <col min="7462" max="7462" width="5.140625" style="244" customWidth="1"/>
    <col min="7463" max="7463" width="7.42578125" style="244" customWidth="1"/>
    <col min="7464" max="7464" width="4.5703125" style="244" customWidth="1"/>
    <col min="7465" max="7680" width="11.5703125" style="244"/>
    <col min="7681" max="7681" width="1.85546875" style="244" customWidth="1"/>
    <col min="7682" max="7682" width="22.28515625" style="244" customWidth="1"/>
    <col min="7683" max="7684" width="4.5703125" style="244" customWidth="1"/>
    <col min="7685" max="7685" width="7.140625" style="244" customWidth="1"/>
    <col min="7686" max="7686" width="7.85546875" style="244" customWidth="1"/>
    <col min="7687" max="7687" width="4.5703125" style="244" customWidth="1"/>
    <col min="7688" max="7688" width="8.140625" style="244" customWidth="1"/>
    <col min="7689" max="7689" width="27.140625" style="244" customWidth="1"/>
    <col min="7690" max="7690" width="7.140625" style="244" customWidth="1"/>
    <col min="7691" max="7692" width="8.5703125" style="244" customWidth="1"/>
    <col min="7693" max="7693" width="4.5703125" style="244" customWidth="1"/>
    <col min="7694" max="7694" width="7.42578125" style="244" customWidth="1"/>
    <col min="7695" max="7696" width="4.5703125" style="244" customWidth="1"/>
    <col min="7697" max="7697" width="7" style="244" customWidth="1"/>
    <col min="7698" max="7698" width="8.140625" style="244" customWidth="1"/>
    <col min="7699" max="7699" width="8" style="244" customWidth="1"/>
    <col min="7700" max="7700" width="7.140625" style="244" customWidth="1"/>
    <col min="7701" max="7701" width="6.5703125" style="244" customWidth="1"/>
    <col min="7702" max="7702" width="4.5703125" style="244" customWidth="1"/>
    <col min="7703" max="7703" width="7.85546875" style="244" customWidth="1"/>
    <col min="7704" max="7704" width="8.140625" style="244" customWidth="1"/>
    <col min="7705" max="7708" width="4.5703125" style="244" customWidth="1"/>
    <col min="7709" max="7709" width="11.5703125" style="244"/>
    <col min="7710" max="7710" width="8.42578125" style="244" customWidth="1"/>
    <col min="7711" max="7711" width="5.42578125" style="244" customWidth="1"/>
    <col min="7712" max="7713" width="5.140625" style="244" customWidth="1"/>
    <col min="7714" max="7714" width="6.42578125" style="244" customWidth="1"/>
    <col min="7715" max="7715" width="11.5703125" style="244"/>
    <col min="7716" max="7716" width="8.42578125" style="244" customWidth="1"/>
    <col min="7717" max="7717" width="3.140625" style="244" customWidth="1"/>
    <col min="7718" max="7718" width="5.140625" style="244" customWidth="1"/>
    <col min="7719" max="7719" width="7.42578125" style="244" customWidth="1"/>
    <col min="7720" max="7720" width="4.5703125" style="244" customWidth="1"/>
    <col min="7721" max="7936" width="11.5703125" style="244"/>
    <col min="7937" max="7937" width="1.85546875" style="244" customWidth="1"/>
    <col min="7938" max="7938" width="22.28515625" style="244" customWidth="1"/>
    <col min="7939" max="7940" width="4.5703125" style="244" customWidth="1"/>
    <col min="7941" max="7941" width="7.140625" style="244" customWidth="1"/>
    <col min="7942" max="7942" width="7.85546875" style="244" customWidth="1"/>
    <col min="7943" max="7943" width="4.5703125" style="244" customWidth="1"/>
    <col min="7944" max="7944" width="8.140625" style="244" customWidth="1"/>
    <col min="7945" max="7945" width="27.140625" style="244" customWidth="1"/>
    <col min="7946" max="7946" width="7.140625" style="244" customWidth="1"/>
    <col min="7947" max="7948" width="8.5703125" style="244" customWidth="1"/>
    <col min="7949" max="7949" width="4.5703125" style="244" customWidth="1"/>
    <col min="7950" max="7950" width="7.42578125" style="244" customWidth="1"/>
    <col min="7951" max="7952" width="4.5703125" style="244" customWidth="1"/>
    <col min="7953" max="7953" width="7" style="244" customWidth="1"/>
    <col min="7954" max="7954" width="8.140625" style="244" customWidth="1"/>
    <col min="7955" max="7955" width="8" style="244" customWidth="1"/>
    <col min="7956" max="7956" width="7.140625" style="244" customWidth="1"/>
    <col min="7957" max="7957" width="6.5703125" style="244" customWidth="1"/>
    <col min="7958" max="7958" width="4.5703125" style="244" customWidth="1"/>
    <col min="7959" max="7959" width="7.85546875" style="244" customWidth="1"/>
    <col min="7960" max="7960" width="8.140625" style="244" customWidth="1"/>
    <col min="7961" max="7964" width="4.5703125" style="244" customWidth="1"/>
    <col min="7965" max="7965" width="11.5703125" style="244"/>
    <col min="7966" max="7966" width="8.42578125" style="244" customWidth="1"/>
    <col min="7967" max="7967" width="5.42578125" style="244" customWidth="1"/>
    <col min="7968" max="7969" width="5.140625" style="244" customWidth="1"/>
    <col min="7970" max="7970" width="6.42578125" style="244" customWidth="1"/>
    <col min="7971" max="7971" width="11.5703125" style="244"/>
    <col min="7972" max="7972" width="8.42578125" style="244" customWidth="1"/>
    <col min="7973" max="7973" width="3.140625" style="244" customWidth="1"/>
    <col min="7974" max="7974" width="5.140625" style="244" customWidth="1"/>
    <col min="7975" max="7975" width="7.42578125" style="244" customWidth="1"/>
    <col min="7976" max="7976" width="4.5703125" style="244" customWidth="1"/>
    <col min="7977" max="8192" width="11.5703125" style="244"/>
    <col min="8193" max="8193" width="1.85546875" style="244" customWidth="1"/>
    <col min="8194" max="8194" width="22.28515625" style="244" customWidth="1"/>
    <col min="8195" max="8196" width="4.5703125" style="244" customWidth="1"/>
    <col min="8197" max="8197" width="7.140625" style="244" customWidth="1"/>
    <col min="8198" max="8198" width="7.85546875" style="244" customWidth="1"/>
    <col min="8199" max="8199" width="4.5703125" style="244" customWidth="1"/>
    <col min="8200" max="8200" width="8.140625" style="244" customWidth="1"/>
    <col min="8201" max="8201" width="27.140625" style="244" customWidth="1"/>
    <col min="8202" max="8202" width="7.140625" style="244" customWidth="1"/>
    <col min="8203" max="8204" width="8.5703125" style="244" customWidth="1"/>
    <col min="8205" max="8205" width="4.5703125" style="244" customWidth="1"/>
    <col min="8206" max="8206" width="7.42578125" style="244" customWidth="1"/>
    <col min="8207" max="8208" width="4.5703125" style="244" customWidth="1"/>
    <col min="8209" max="8209" width="7" style="244" customWidth="1"/>
    <col min="8210" max="8210" width="8.140625" style="244" customWidth="1"/>
    <col min="8211" max="8211" width="8" style="244" customWidth="1"/>
    <col min="8212" max="8212" width="7.140625" style="244" customWidth="1"/>
    <col min="8213" max="8213" width="6.5703125" style="244" customWidth="1"/>
    <col min="8214" max="8214" width="4.5703125" style="244" customWidth="1"/>
    <col min="8215" max="8215" width="7.85546875" style="244" customWidth="1"/>
    <col min="8216" max="8216" width="8.140625" style="244" customWidth="1"/>
    <col min="8217" max="8220" width="4.5703125" style="244" customWidth="1"/>
    <col min="8221" max="8221" width="11.5703125" style="244"/>
    <col min="8222" max="8222" width="8.42578125" style="244" customWidth="1"/>
    <col min="8223" max="8223" width="5.42578125" style="244" customWidth="1"/>
    <col min="8224" max="8225" width="5.140625" style="244" customWidth="1"/>
    <col min="8226" max="8226" width="6.42578125" style="244" customWidth="1"/>
    <col min="8227" max="8227" width="11.5703125" style="244"/>
    <col min="8228" max="8228" width="8.42578125" style="244" customWidth="1"/>
    <col min="8229" max="8229" width="3.140625" style="244" customWidth="1"/>
    <col min="8230" max="8230" width="5.140625" style="244" customWidth="1"/>
    <col min="8231" max="8231" width="7.42578125" style="244" customWidth="1"/>
    <col min="8232" max="8232" width="4.5703125" style="244" customWidth="1"/>
    <col min="8233" max="8448" width="11.5703125" style="244"/>
    <col min="8449" max="8449" width="1.85546875" style="244" customWidth="1"/>
    <col min="8450" max="8450" width="22.28515625" style="244" customWidth="1"/>
    <col min="8451" max="8452" width="4.5703125" style="244" customWidth="1"/>
    <col min="8453" max="8453" width="7.140625" style="244" customWidth="1"/>
    <col min="8454" max="8454" width="7.85546875" style="244" customWidth="1"/>
    <col min="8455" max="8455" width="4.5703125" style="244" customWidth="1"/>
    <col min="8456" max="8456" width="8.140625" style="244" customWidth="1"/>
    <col min="8457" max="8457" width="27.140625" style="244" customWidth="1"/>
    <col min="8458" max="8458" width="7.140625" style="244" customWidth="1"/>
    <col min="8459" max="8460" width="8.5703125" style="244" customWidth="1"/>
    <col min="8461" max="8461" width="4.5703125" style="244" customWidth="1"/>
    <col min="8462" max="8462" width="7.42578125" style="244" customWidth="1"/>
    <col min="8463" max="8464" width="4.5703125" style="244" customWidth="1"/>
    <col min="8465" max="8465" width="7" style="244" customWidth="1"/>
    <col min="8466" max="8466" width="8.140625" style="244" customWidth="1"/>
    <col min="8467" max="8467" width="8" style="244" customWidth="1"/>
    <col min="8468" max="8468" width="7.140625" style="244" customWidth="1"/>
    <col min="8469" max="8469" width="6.5703125" style="244" customWidth="1"/>
    <col min="8470" max="8470" width="4.5703125" style="244" customWidth="1"/>
    <col min="8471" max="8471" width="7.85546875" style="244" customWidth="1"/>
    <col min="8472" max="8472" width="8.140625" style="244" customWidth="1"/>
    <col min="8473" max="8476" width="4.5703125" style="244" customWidth="1"/>
    <col min="8477" max="8477" width="11.5703125" style="244"/>
    <col min="8478" max="8478" width="8.42578125" style="244" customWidth="1"/>
    <col min="8479" max="8479" width="5.42578125" style="244" customWidth="1"/>
    <col min="8480" max="8481" width="5.140625" style="244" customWidth="1"/>
    <col min="8482" max="8482" width="6.42578125" style="244" customWidth="1"/>
    <col min="8483" max="8483" width="11.5703125" style="244"/>
    <col min="8484" max="8484" width="8.42578125" style="244" customWidth="1"/>
    <col min="8485" max="8485" width="3.140625" style="244" customWidth="1"/>
    <col min="8486" max="8486" width="5.140625" style="244" customWidth="1"/>
    <col min="8487" max="8487" width="7.42578125" style="244" customWidth="1"/>
    <col min="8488" max="8488" width="4.5703125" style="244" customWidth="1"/>
    <col min="8489" max="8704" width="11.5703125" style="244"/>
    <col min="8705" max="8705" width="1.85546875" style="244" customWidth="1"/>
    <col min="8706" max="8706" width="22.28515625" style="244" customWidth="1"/>
    <col min="8707" max="8708" width="4.5703125" style="244" customWidth="1"/>
    <col min="8709" max="8709" width="7.140625" style="244" customWidth="1"/>
    <col min="8710" max="8710" width="7.85546875" style="244" customWidth="1"/>
    <col min="8711" max="8711" width="4.5703125" style="244" customWidth="1"/>
    <col min="8712" max="8712" width="8.140625" style="244" customWidth="1"/>
    <col min="8713" max="8713" width="27.140625" style="244" customWidth="1"/>
    <col min="8714" max="8714" width="7.140625" style="244" customWidth="1"/>
    <col min="8715" max="8716" width="8.5703125" style="244" customWidth="1"/>
    <col min="8717" max="8717" width="4.5703125" style="244" customWidth="1"/>
    <col min="8718" max="8718" width="7.42578125" style="244" customWidth="1"/>
    <col min="8719" max="8720" width="4.5703125" style="244" customWidth="1"/>
    <col min="8721" max="8721" width="7" style="244" customWidth="1"/>
    <col min="8722" max="8722" width="8.140625" style="244" customWidth="1"/>
    <col min="8723" max="8723" width="8" style="244" customWidth="1"/>
    <col min="8724" max="8724" width="7.140625" style="244" customWidth="1"/>
    <col min="8725" max="8725" width="6.5703125" style="244" customWidth="1"/>
    <col min="8726" max="8726" width="4.5703125" style="244" customWidth="1"/>
    <col min="8727" max="8727" width="7.85546875" style="244" customWidth="1"/>
    <col min="8728" max="8728" width="8.140625" style="244" customWidth="1"/>
    <col min="8729" max="8732" width="4.5703125" style="244" customWidth="1"/>
    <col min="8733" max="8733" width="11.5703125" style="244"/>
    <col min="8734" max="8734" width="8.42578125" style="244" customWidth="1"/>
    <col min="8735" max="8735" width="5.42578125" style="244" customWidth="1"/>
    <col min="8736" max="8737" width="5.140625" style="244" customWidth="1"/>
    <col min="8738" max="8738" width="6.42578125" style="244" customWidth="1"/>
    <col min="8739" max="8739" width="11.5703125" style="244"/>
    <col min="8740" max="8740" width="8.42578125" style="244" customWidth="1"/>
    <col min="8741" max="8741" width="3.140625" style="244" customWidth="1"/>
    <col min="8742" max="8742" width="5.140625" style="244" customWidth="1"/>
    <col min="8743" max="8743" width="7.42578125" style="244" customWidth="1"/>
    <col min="8744" max="8744" width="4.5703125" style="244" customWidth="1"/>
    <col min="8745" max="8960" width="11.5703125" style="244"/>
    <col min="8961" max="8961" width="1.85546875" style="244" customWidth="1"/>
    <col min="8962" max="8962" width="22.28515625" style="244" customWidth="1"/>
    <col min="8963" max="8964" width="4.5703125" style="244" customWidth="1"/>
    <col min="8965" max="8965" width="7.140625" style="244" customWidth="1"/>
    <col min="8966" max="8966" width="7.85546875" style="244" customWidth="1"/>
    <col min="8967" max="8967" width="4.5703125" style="244" customWidth="1"/>
    <col min="8968" max="8968" width="8.140625" style="244" customWidth="1"/>
    <col min="8969" max="8969" width="27.140625" style="244" customWidth="1"/>
    <col min="8970" max="8970" width="7.140625" style="244" customWidth="1"/>
    <col min="8971" max="8972" width="8.5703125" style="244" customWidth="1"/>
    <col min="8973" max="8973" width="4.5703125" style="244" customWidth="1"/>
    <col min="8974" max="8974" width="7.42578125" style="244" customWidth="1"/>
    <col min="8975" max="8976" width="4.5703125" style="244" customWidth="1"/>
    <col min="8977" max="8977" width="7" style="244" customWidth="1"/>
    <col min="8978" max="8978" width="8.140625" style="244" customWidth="1"/>
    <col min="8979" max="8979" width="8" style="244" customWidth="1"/>
    <col min="8980" max="8980" width="7.140625" style="244" customWidth="1"/>
    <col min="8981" max="8981" width="6.5703125" style="244" customWidth="1"/>
    <col min="8982" max="8982" width="4.5703125" style="244" customWidth="1"/>
    <col min="8983" max="8983" width="7.85546875" style="244" customWidth="1"/>
    <col min="8984" max="8984" width="8.140625" style="244" customWidth="1"/>
    <col min="8985" max="8988" width="4.5703125" style="244" customWidth="1"/>
    <col min="8989" max="8989" width="11.5703125" style="244"/>
    <col min="8990" max="8990" width="8.42578125" style="244" customWidth="1"/>
    <col min="8991" max="8991" width="5.42578125" style="244" customWidth="1"/>
    <col min="8992" max="8993" width="5.140625" style="244" customWidth="1"/>
    <col min="8994" max="8994" width="6.42578125" style="244" customWidth="1"/>
    <col min="8995" max="8995" width="11.5703125" style="244"/>
    <col min="8996" max="8996" width="8.42578125" style="244" customWidth="1"/>
    <col min="8997" max="8997" width="3.140625" style="244" customWidth="1"/>
    <col min="8998" max="8998" width="5.140625" style="244" customWidth="1"/>
    <col min="8999" max="8999" width="7.42578125" style="244" customWidth="1"/>
    <col min="9000" max="9000" width="4.5703125" style="244" customWidth="1"/>
    <col min="9001" max="9216" width="11.5703125" style="244"/>
    <col min="9217" max="9217" width="1.85546875" style="244" customWidth="1"/>
    <col min="9218" max="9218" width="22.28515625" style="244" customWidth="1"/>
    <col min="9219" max="9220" width="4.5703125" style="244" customWidth="1"/>
    <col min="9221" max="9221" width="7.140625" style="244" customWidth="1"/>
    <col min="9222" max="9222" width="7.85546875" style="244" customWidth="1"/>
    <col min="9223" max="9223" width="4.5703125" style="244" customWidth="1"/>
    <col min="9224" max="9224" width="8.140625" style="244" customWidth="1"/>
    <col min="9225" max="9225" width="27.140625" style="244" customWidth="1"/>
    <col min="9226" max="9226" width="7.140625" style="244" customWidth="1"/>
    <col min="9227" max="9228" width="8.5703125" style="244" customWidth="1"/>
    <col min="9229" max="9229" width="4.5703125" style="244" customWidth="1"/>
    <col min="9230" max="9230" width="7.42578125" style="244" customWidth="1"/>
    <col min="9231" max="9232" width="4.5703125" style="244" customWidth="1"/>
    <col min="9233" max="9233" width="7" style="244" customWidth="1"/>
    <col min="9234" max="9234" width="8.140625" style="244" customWidth="1"/>
    <col min="9235" max="9235" width="8" style="244" customWidth="1"/>
    <col min="9236" max="9236" width="7.140625" style="244" customWidth="1"/>
    <col min="9237" max="9237" width="6.5703125" style="244" customWidth="1"/>
    <col min="9238" max="9238" width="4.5703125" style="244" customWidth="1"/>
    <col min="9239" max="9239" width="7.85546875" style="244" customWidth="1"/>
    <col min="9240" max="9240" width="8.140625" style="244" customWidth="1"/>
    <col min="9241" max="9244" width="4.5703125" style="244" customWidth="1"/>
    <col min="9245" max="9245" width="11.5703125" style="244"/>
    <col min="9246" max="9246" width="8.42578125" style="244" customWidth="1"/>
    <col min="9247" max="9247" width="5.42578125" style="244" customWidth="1"/>
    <col min="9248" max="9249" width="5.140625" style="244" customWidth="1"/>
    <col min="9250" max="9250" width="6.42578125" style="244" customWidth="1"/>
    <col min="9251" max="9251" width="11.5703125" style="244"/>
    <col min="9252" max="9252" width="8.42578125" style="244" customWidth="1"/>
    <col min="9253" max="9253" width="3.140625" style="244" customWidth="1"/>
    <col min="9254" max="9254" width="5.140625" style="244" customWidth="1"/>
    <col min="9255" max="9255" width="7.42578125" style="244" customWidth="1"/>
    <col min="9256" max="9256" width="4.5703125" style="244" customWidth="1"/>
    <col min="9257" max="9472" width="11.5703125" style="244"/>
    <col min="9473" max="9473" width="1.85546875" style="244" customWidth="1"/>
    <col min="9474" max="9474" width="22.28515625" style="244" customWidth="1"/>
    <col min="9475" max="9476" width="4.5703125" style="244" customWidth="1"/>
    <col min="9477" max="9477" width="7.140625" style="244" customWidth="1"/>
    <col min="9478" max="9478" width="7.85546875" style="244" customWidth="1"/>
    <col min="9479" max="9479" width="4.5703125" style="244" customWidth="1"/>
    <col min="9480" max="9480" width="8.140625" style="244" customWidth="1"/>
    <col min="9481" max="9481" width="27.140625" style="244" customWidth="1"/>
    <col min="9482" max="9482" width="7.140625" style="244" customWidth="1"/>
    <col min="9483" max="9484" width="8.5703125" style="244" customWidth="1"/>
    <col min="9485" max="9485" width="4.5703125" style="244" customWidth="1"/>
    <col min="9486" max="9486" width="7.42578125" style="244" customWidth="1"/>
    <col min="9487" max="9488" width="4.5703125" style="244" customWidth="1"/>
    <col min="9489" max="9489" width="7" style="244" customWidth="1"/>
    <col min="9490" max="9490" width="8.140625" style="244" customWidth="1"/>
    <col min="9491" max="9491" width="8" style="244" customWidth="1"/>
    <col min="9492" max="9492" width="7.140625" style="244" customWidth="1"/>
    <col min="9493" max="9493" width="6.5703125" style="244" customWidth="1"/>
    <col min="9494" max="9494" width="4.5703125" style="244" customWidth="1"/>
    <col min="9495" max="9495" width="7.85546875" style="244" customWidth="1"/>
    <col min="9496" max="9496" width="8.140625" style="244" customWidth="1"/>
    <col min="9497" max="9500" width="4.5703125" style="244" customWidth="1"/>
    <col min="9501" max="9501" width="11.5703125" style="244"/>
    <col min="9502" max="9502" width="8.42578125" style="244" customWidth="1"/>
    <col min="9503" max="9503" width="5.42578125" style="244" customWidth="1"/>
    <col min="9504" max="9505" width="5.140625" style="244" customWidth="1"/>
    <col min="9506" max="9506" width="6.42578125" style="244" customWidth="1"/>
    <col min="9507" max="9507" width="11.5703125" style="244"/>
    <col min="9508" max="9508" width="8.42578125" style="244" customWidth="1"/>
    <col min="9509" max="9509" width="3.140625" style="244" customWidth="1"/>
    <col min="9510" max="9510" width="5.140625" style="244" customWidth="1"/>
    <col min="9511" max="9511" width="7.42578125" style="244" customWidth="1"/>
    <col min="9512" max="9512" width="4.5703125" style="244" customWidth="1"/>
    <col min="9513" max="9728" width="11.5703125" style="244"/>
    <col min="9729" max="9729" width="1.85546875" style="244" customWidth="1"/>
    <col min="9730" max="9730" width="22.28515625" style="244" customWidth="1"/>
    <col min="9731" max="9732" width="4.5703125" style="244" customWidth="1"/>
    <col min="9733" max="9733" width="7.140625" style="244" customWidth="1"/>
    <col min="9734" max="9734" width="7.85546875" style="244" customWidth="1"/>
    <col min="9735" max="9735" width="4.5703125" style="244" customWidth="1"/>
    <col min="9736" max="9736" width="8.140625" style="244" customWidth="1"/>
    <col min="9737" max="9737" width="27.140625" style="244" customWidth="1"/>
    <col min="9738" max="9738" width="7.140625" style="244" customWidth="1"/>
    <col min="9739" max="9740" width="8.5703125" style="244" customWidth="1"/>
    <col min="9741" max="9741" width="4.5703125" style="244" customWidth="1"/>
    <col min="9742" max="9742" width="7.42578125" style="244" customWidth="1"/>
    <col min="9743" max="9744" width="4.5703125" style="244" customWidth="1"/>
    <col min="9745" max="9745" width="7" style="244" customWidth="1"/>
    <col min="9746" max="9746" width="8.140625" style="244" customWidth="1"/>
    <col min="9747" max="9747" width="8" style="244" customWidth="1"/>
    <col min="9748" max="9748" width="7.140625" style="244" customWidth="1"/>
    <col min="9749" max="9749" width="6.5703125" style="244" customWidth="1"/>
    <col min="9750" max="9750" width="4.5703125" style="244" customWidth="1"/>
    <col min="9751" max="9751" width="7.85546875" style="244" customWidth="1"/>
    <col min="9752" max="9752" width="8.140625" style="244" customWidth="1"/>
    <col min="9753" max="9756" width="4.5703125" style="244" customWidth="1"/>
    <col min="9757" max="9757" width="11.5703125" style="244"/>
    <col min="9758" max="9758" width="8.42578125" style="244" customWidth="1"/>
    <col min="9759" max="9759" width="5.42578125" style="244" customWidth="1"/>
    <col min="9760" max="9761" width="5.140625" style="244" customWidth="1"/>
    <col min="9762" max="9762" width="6.42578125" style="244" customWidth="1"/>
    <col min="9763" max="9763" width="11.5703125" style="244"/>
    <col min="9764" max="9764" width="8.42578125" style="244" customWidth="1"/>
    <col min="9765" max="9765" width="3.140625" style="244" customWidth="1"/>
    <col min="9766" max="9766" width="5.140625" style="244" customWidth="1"/>
    <col min="9767" max="9767" width="7.42578125" style="244" customWidth="1"/>
    <col min="9768" max="9768" width="4.5703125" style="244" customWidth="1"/>
    <col min="9769" max="9984" width="11.5703125" style="244"/>
    <col min="9985" max="9985" width="1.85546875" style="244" customWidth="1"/>
    <col min="9986" max="9986" width="22.28515625" style="244" customWidth="1"/>
    <col min="9987" max="9988" width="4.5703125" style="244" customWidth="1"/>
    <col min="9989" max="9989" width="7.140625" style="244" customWidth="1"/>
    <col min="9990" max="9990" width="7.85546875" style="244" customWidth="1"/>
    <col min="9991" max="9991" width="4.5703125" style="244" customWidth="1"/>
    <col min="9992" max="9992" width="8.140625" style="244" customWidth="1"/>
    <col min="9993" max="9993" width="27.140625" style="244" customWidth="1"/>
    <col min="9994" max="9994" width="7.140625" style="244" customWidth="1"/>
    <col min="9995" max="9996" width="8.5703125" style="244" customWidth="1"/>
    <col min="9997" max="9997" width="4.5703125" style="244" customWidth="1"/>
    <col min="9998" max="9998" width="7.42578125" style="244" customWidth="1"/>
    <col min="9999" max="10000" width="4.5703125" style="244" customWidth="1"/>
    <col min="10001" max="10001" width="7" style="244" customWidth="1"/>
    <col min="10002" max="10002" width="8.140625" style="244" customWidth="1"/>
    <col min="10003" max="10003" width="8" style="244" customWidth="1"/>
    <col min="10004" max="10004" width="7.140625" style="244" customWidth="1"/>
    <col min="10005" max="10005" width="6.5703125" style="244" customWidth="1"/>
    <col min="10006" max="10006" width="4.5703125" style="244" customWidth="1"/>
    <col min="10007" max="10007" width="7.85546875" style="244" customWidth="1"/>
    <col min="10008" max="10008" width="8.140625" style="244" customWidth="1"/>
    <col min="10009" max="10012" width="4.5703125" style="244" customWidth="1"/>
    <col min="10013" max="10013" width="11.5703125" style="244"/>
    <col min="10014" max="10014" width="8.42578125" style="244" customWidth="1"/>
    <col min="10015" max="10015" width="5.42578125" style="244" customWidth="1"/>
    <col min="10016" max="10017" width="5.140625" style="244" customWidth="1"/>
    <col min="10018" max="10018" width="6.42578125" style="244" customWidth="1"/>
    <col min="10019" max="10019" width="11.5703125" style="244"/>
    <col min="10020" max="10020" width="8.42578125" style="244" customWidth="1"/>
    <col min="10021" max="10021" width="3.140625" style="244" customWidth="1"/>
    <col min="10022" max="10022" width="5.140625" style="244" customWidth="1"/>
    <col min="10023" max="10023" width="7.42578125" style="244" customWidth="1"/>
    <col min="10024" max="10024" width="4.5703125" style="244" customWidth="1"/>
    <col min="10025" max="10240" width="11.5703125" style="244"/>
    <col min="10241" max="10241" width="1.85546875" style="244" customWidth="1"/>
    <col min="10242" max="10242" width="22.28515625" style="244" customWidth="1"/>
    <col min="10243" max="10244" width="4.5703125" style="244" customWidth="1"/>
    <col min="10245" max="10245" width="7.140625" style="244" customWidth="1"/>
    <col min="10246" max="10246" width="7.85546875" style="244" customWidth="1"/>
    <col min="10247" max="10247" width="4.5703125" style="244" customWidth="1"/>
    <col min="10248" max="10248" width="8.140625" style="244" customWidth="1"/>
    <col min="10249" max="10249" width="27.140625" style="244" customWidth="1"/>
    <col min="10250" max="10250" width="7.140625" style="244" customWidth="1"/>
    <col min="10251" max="10252" width="8.5703125" style="244" customWidth="1"/>
    <col min="10253" max="10253" width="4.5703125" style="244" customWidth="1"/>
    <col min="10254" max="10254" width="7.42578125" style="244" customWidth="1"/>
    <col min="10255" max="10256" width="4.5703125" style="244" customWidth="1"/>
    <col min="10257" max="10257" width="7" style="244" customWidth="1"/>
    <col min="10258" max="10258" width="8.140625" style="244" customWidth="1"/>
    <col min="10259" max="10259" width="8" style="244" customWidth="1"/>
    <col min="10260" max="10260" width="7.140625" style="244" customWidth="1"/>
    <col min="10261" max="10261" width="6.5703125" style="244" customWidth="1"/>
    <col min="10262" max="10262" width="4.5703125" style="244" customWidth="1"/>
    <col min="10263" max="10263" width="7.85546875" style="244" customWidth="1"/>
    <col min="10264" max="10264" width="8.140625" style="244" customWidth="1"/>
    <col min="10265" max="10268" width="4.5703125" style="244" customWidth="1"/>
    <col min="10269" max="10269" width="11.5703125" style="244"/>
    <col min="10270" max="10270" width="8.42578125" style="244" customWidth="1"/>
    <col min="10271" max="10271" width="5.42578125" style="244" customWidth="1"/>
    <col min="10272" max="10273" width="5.140625" style="244" customWidth="1"/>
    <col min="10274" max="10274" width="6.42578125" style="244" customWidth="1"/>
    <col min="10275" max="10275" width="11.5703125" style="244"/>
    <col min="10276" max="10276" width="8.42578125" style="244" customWidth="1"/>
    <col min="10277" max="10277" width="3.140625" style="244" customWidth="1"/>
    <col min="10278" max="10278" width="5.140625" style="244" customWidth="1"/>
    <col min="10279" max="10279" width="7.42578125" style="244" customWidth="1"/>
    <col min="10280" max="10280" width="4.5703125" style="244" customWidth="1"/>
    <col min="10281" max="10496" width="11.5703125" style="244"/>
    <col min="10497" max="10497" width="1.85546875" style="244" customWidth="1"/>
    <col min="10498" max="10498" width="22.28515625" style="244" customWidth="1"/>
    <col min="10499" max="10500" width="4.5703125" style="244" customWidth="1"/>
    <col min="10501" max="10501" width="7.140625" style="244" customWidth="1"/>
    <col min="10502" max="10502" width="7.85546875" style="244" customWidth="1"/>
    <col min="10503" max="10503" width="4.5703125" style="244" customWidth="1"/>
    <col min="10504" max="10504" width="8.140625" style="244" customWidth="1"/>
    <col min="10505" max="10505" width="27.140625" style="244" customWidth="1"/>
    <col min="10506" max="10506" width="7.140625" style="244" customWidth="1"/>
    <col min="10507" max="10508" width="8.5703125" style="244" customWidth="1"/>
    <col min="10509" max="10509" width="4.5703125" style="244" customWidth="1"/>
    <col min="10510" max="10510" width="7.42578125" style="244" customWidth="1"/>
    <col min="10511" max="10512" width="4.5703125" style="244" customWidth="1"/>
    <col min="10513" max="10513" width="7" style="244" customWidth="1"/>
    <col min="10514" max="10514" width="8.140625" style="244" customWidth="1"/>
    <col min="10515" max="10515" width="8" style="244" customWidth="1"/>
    <col min="10516" max="10516" width="7.140625" style="244" customWidth="1"/>
    <col min="10517" max="10517" width="6.5703125" style="244" customWidth="1"/>
    <col min="10518" max="10518" width="4.5703125" style="244" customWidth="1"/>
    <col min="10519" max="10519" width="7.85546875" style="244" customWidth="1"/>
    <col min="10520" max="10520" width="8.140625" style="244" customWidth="1"/>
    <col min="10521" max="10524" width="4.5703125" style="244" customWidth="1"/>
    <col min="10525" max="10525" width="11.5703125" style="244"/>
    <col min="10526" max="10526" width="8.42578125" style="244" customWidth="1"/>
    <col min="10527" max="10527" width="5.42578125" style="244" customWidth="1"/>
    <col min="10528" max="10529" width="5.140625" style="244" customWidth="1"/>
    <col min="10530" max="10530" width="6.42578125" style="244" customWidth="1"/>
    <col min="10531" max="10531" width="11.5703125" style="244"/>
    <col min="10532" max="10532" width="8.42578125" style="244" customWidth="1"/>
    <col min="10533" max="10533" width="3.140625" style="244" customWidth="1"/>
    <col min="10534" max="10534" width="5.140625" style="244" customWidth="1"/>
    <col min="10535" max="10535" width="7.42578125" style="244" customWidth="1"/>
    <col min="10536" max="10536" width="4.5703125" style="244" customWidth="1"/>
    <col min="10537" max="10752" width="11.5703125" style="244"/>
    <col min="10753" max="10753" width="1.85546875" style="244" customWidth="1"/>
    <col min="10754" max="10754" width="22.28515625" style="244" customWidth="1"/>
    <col min="10755" max="10756" width="4.5703125" style="244" customWidth="1"/>
    <col min="10757" max="10757" width="7.140625" style="244" customWidth="1"/>
    <col min="10758" max="10758" width="7.85546875" style="244" customWidth="1"/>
    <col min="10759" max="10759" width="4.5703125" style="244" customWidth="1"/>
    <col min="10760" max="10760" width="8.140625" style="244" customWidth="1"/>
    <col min="10761" max="10761" width="27.140625" style="244" customWidth="1"/>
    <col min="10762" max="10762" width="7.140625" style="244" customWidth="1"/>
    <col min="10763" max="10764" width="8.5703125" style="244" customWidth="1"/>
    <col min="10765" max="10765" width="4.5703125" style="244" customWidth="1"/>
    <col min="10766" max="10766" width="7.42578125" style="244" customWidth="1"/>
    <col min="10767" max="10768" width="4.5703125" style="244" customWidth="1"/>
    <col min="10769" max="10769" width="7" style="244" customWidth="1"/>
    <col min="10770" max="10770" width="8.140625" style="244" customWidth="1"/>
    <col min="10771" max="10771" width="8" style="244" customWidth="1"/>
    <col min="10772" max="10772" width="7.140625" style="244" customWidth="1"/>
    <col min="10773" max="10773" width="6.5703125" style="244" customWidth="1"/>
    <col min="10774" max="10774" width="4.5703125" style="244" customWidth="1"/>
    <col min="10775" max="10775" width="7.85546875" style="244" customWidth="1"/>
    <col min="10776" max="10776" width="8.140625" style="244" customWidth="1"/>
    <col min="10777" max="10780" width="4.5703125" style="244" customWidth="1"/>
    <col min="10781" max="10781" width="11.5703125" style="244"/>
    <col min="10782" max="10782" width="8.42578125" style="244" customWidth="1"/>
    <col min="10783" max="10783" width="5.42578125" style="244" customWidth="1"/>
    <col min="10784" max="10785" width="5.140625" style="244" customWidth="1"/>
    <col min="10786" max="10786" width="6.42578125" style="244" customWidth="1"/>
    <col min="10787" max="10787" width="11.5703125" style="244"/>
    <col min="10788" max="10788" width="8.42578125" style="244" customWidth="1"/>
    <col min="10789" max="10789" width="3.140625" style="244" customWidth="1"/>
    <col min="10790" max="10790" width="5.140625" style="244" customWidth="1"/>
    <col min="10791" max="10791" width="7.42578125" style="244" customWidth="1"/>
    <col min="10792" max="10792" width="4.5703125" style="244" customWidth="1"/>
    <col min="10793" max="11008" width="11.5703125" style="244"/>
    <col min="11009" max="11009" width="1.85546875" style="244" customWidth="1"/>
    <col min="11010" max="11010" width="22.28515625" style="244" customWidth="1"/>
    <col min="11011" max="11012" width="4.5703125" style="244" customWidth="1"/>
    <col min="11013" max="11013" width="7.140625" style="244" customWidth="1"/>
    <col min="11014" max="11014" width="7.85546875" style="244" customWidth="1"/>
    <col min="11015" max="11015" width="4.5703125" style="244" customWidth="1"/>
    <col min="11016" max="11016" width="8.140625" style="244" customWidth="1"/>
    <col min="11017" max="11017" width="27.140625" style="244" customWidth="1"/>
    <col min="11018" max="11018" width="7.140625" style="244" customWidth="1"/>
    <col min="11019" max="11020" width="8.5703125" style="244" customWidth="1"/>
    <col min="11021" max="11021" width="4.5703125" style="244" customWidth="1"/>
    <col min="11022" max="11022" width="7.42578125" style="244" customWidth="1"/>
    <col min="11023" max="11024" width="4.5703125" style="244" customWidth="1"/>
    <col min="11025" max="11025" width="7" style="244" customWidth="1"/>
    <col min="11026" max="11026" width="8.140625" style="244" customWidth="1"/>
    <col min="11027" max="11027" width="8" style="244" customWidth="1"/>
    <col min="11028" max="11028" width="7.140625" style="244" customWidth="1"/>
    <col min="11029" max="11029" width="6.5703125" style="244" customWidth="1"/>
    <col min="11030" max="11030" width="4.5703125" style="244" customWidth="1"/>
    <col min="11031" max="11031" width="7.85546875" style="244" customWidth="1"/>
    <col min="11032" max="11032" width="8.140625" style="244" customWidth="1"/>
    <col min="11033" max="11036" width="4.5703125" style="244" customWidth="1"/>
    <col min="11037" max="11037" width="11.5703125" style="244"/>
    <col min="11038" max="11038" width="8.42578125" style="244" customWidth="1"/>
    <col min="11039" max="11039" width="5.42578125" style="244" customWidth="1"/>
    <col min="11040" max="11041" width="5.140625" style="244" customWidth="1"/>
    <col min="11042" max="11042" width="6.42578125" style="244" customWidth="1"/>
    <col min="11043" max="11043" width="11.5703125" style="244"/>
    <col min="11044" max="11044" width="8.42578125" style="244" customWidth="1"/>
    <col min="11045" max="11045" width="3.140625" style="244" customWidth="1"/>
    <col min="11046" max="11046" width="5.140625" style="244" customWidth="1"/>
    <col min="11047" max="11047" width="7.42578125" style="244" customWidth="1"/>
    <col min="11048" max="11048" width="4.5703125" style="244" customWidth="1"/>
    <col min="11049" max="11264" width="11.5703125" style="244"/>
    <col min="11265" max="11265" width="1.85546875" style="244" customWidth="1"/>
    <col min="11266" max="11266" width="22.28515625" style="244" customWidth="1"/>
    <col min="11267" max="11268" width="4.5703125" style="244" customWidth="1"/>
    <col min="11269" max="11269" width="7.140625" style="244" customWidth="1"/>
    <col min="11270" max="11270" width="7.85546875" style="244" customWidth="1"/>
    <col min="11271" max="11271" width="4.5703125" style="244" customWidth="1"/>
    <col min="11272" max="11272" width="8.140625" style="244" customWidth="1"/>
    <col min="11273" max="11273" width="27.140625" style="244" customWidth="1"/>
    <col min="11274" max="11274" width="7.140625" style="244" customWidth="1"/>
    <col min="11275" max="11276" width="8.5703125" style="244" customWidth="1"/>
    <col min="11277" max="11277" width="4.5703125" style="244" customWidth="1"/>
    <col min="11278" max="11278" width="7.42578125" style="244" customWidth="1"/>
    <col min="11279" max="11280" width="4.5703125" style="244" customWidth="1"/>
    <col min="11281" max="11281" width="7" style="244" customWidth="1"/>
    <col min="11282" max="11282" width="8.140625" style="244" customWidth="1"/>
    <col min="11283" max="11283" width="8" style="244" customWidth="1"/>
    <col min="11284" max="11284" width="7.140625" style="244" customWidth="1"/>
    <col min="11285" max="11285" width="6.5703125" style="244" customWidth="1"/>
    <col min="11286" max="11286" width="4.5703125" style="244" customWidth="1"/>
    <col min="11287" max="11287" width="7.85546875" style="244" customWidth="1"/>
    <col min="11288" max="11288" width="8.140625" style="244" customWidth="1"/>
    <col min="11289" max="11292" width="4.5703125" style="244" customWidth="1"/>
    <col min="11293" max="11293" width="11.5703125" style="244"/>
    <col min="11294" max="11294" width="8.42578125" style="244" customWidth="1"/>
    <col min="11295" max="11295" width="5.42578125" style="244" customWidth="1"/>
    <col min="11296" max="11297" width="5.140625" style="244" customWidth="1"/>
    <col min="11298" max="11298" width="6.42578125" style="244" customWidth="1"/>
    <col min="11299" max="11299" width="11.5703125" style="244"/>
    <col min="11300" max="11300" width="8.42578125" style="244" customWidth="1"/>
    <col min="11301" max="11301" width="3.140625" style="244" customWidth="1"/>
    <col min="11302" max="11302" width="5.140625" style="244" customWidth="1"/>
    <col min="11303" max="11303" width="7.42578125" style="244" customWidth="1"/>
    <col min="11304" max="11304" width="4.5703125" style="244" customWidth="1"/>
    <col min="11305" max="11520" width="11.5703125" style="244"/>
    <col min="11521" max="11521" width="1.85546875" style="244" customWidth="1"/>
    <col min="11522" max="11522" width="22.28515625" style="244" customWidth="1"/>
    <col min="11523" max="11524" width="4.5703125" style="244" customWidth="1"/>
    <col min="11525" max="11525" width="7.140625" style="244" customWidth="1"/>
    <col min="11526" max="11526" width="7.85546875" style="244" customWidth="1"/>
    <col min="11527" max="11527" width="4.5703125" style="244" customWidth="1"/>
    <col min="11528" max="11528" width="8.140625" style="244" customWidth="1"/>
    <col min="11529" max="11529" width="27.140625" style="244" customWidth="1"/>
    <col min="11530" max="11530" width="7.140625" style="244" customWidth="1"/>
    <col min="11531" max="11532" width="8.5703125" style="244" customWidth="1"/>
    <col min="11533" max="11533" width="4.5703125" style="244" customWidth="1"/>
    <col min="11534" max="11534" width="7.42578125" style="244" customWidth="1"/>
    <col min="11535" max="11536" width="4.5703125" style="244" customWidth="1"/>
    <col min="11537" max="11537" width="7" style="244" customWidth="1"/>
    <col min="11538" max="11538" width="8.140625" style="244" customWidth="1"/>
    <col min="11539" max="11539" width="8" style="244" customWidth="1"/>
    <col min="11540" max="11540" width="7.140625" style="244" customWidth="1"/>
    <col min="11541" max="11541" width="6.5703125" style="244" customWidth="1"/>
    <col min="11542" max="11542" width="4.5703125" style="244" customWidth="1"/>
    <col min="11543" max="11543" width="7.85546875" style="244" customWidth="1"/>
    <col min="11544" max="11544" width="8.140625" style="244" customWidth="1"/>
    <col min="11545" max="11548" width="4.5703125" style="244" customWidth="1"/>
    <col min="11549" max="11549" width="11.5703125" style="244"/>
    <col min="11550" max="11550" width="8.42578125" style="244" customWidth="1"/>
    <col min="11551" max="11551" width="5.42578125" style="244" customWidth="1"/>
    <col min="11552" max="11553" width="5.140625" style="244" customWidth="1"/>
    <col min="11554" max="11554" width="6.42578125" style="244" customWidth="1"/>
    <col min="11555" max="11555" width="11.5703125" style="244"/>
    <col min="11556" max="11556" width="8.42578125" style="244" customWidth="1"/>
    <col min="11557" max="11557" width="3.140625" style="244" customWidth="1"/>
    <col min="11558" max="11558" width="5.140625" style="244" customWidth="1"/>
    <col min="11559" max="11559" width="7.42578125" style="244" customWidth="1"/>
    <col min="11560" max="11560" width="4.5703125" style="244" customWidth="1"/>
    <col min="11561" max="11776" width="11.5703125" style="244"/>
    <col min="11777" max="11777" width="1.85546875" style="244" customWidth="1"/>
    <col min="11778" max="11778" width="22.28515625" style="244" customWidth="1"/>
    <col min="11779" max="11780" width="4.5703125" style="244" customWidth="1"/>
    <col min="11781" max="11781" width="7.140625" style="244" customWidth="1"/>
    <col min="11782" max="11782" width="7.85546875" style="244" customWidth="1"/>
    <col min="11783" max="11783" width="4.5703125" style="244" customWidth="1"/>
    <col min="11784" max="11784" width="8.140625" style="244" customWidth="1"/>
    <col min="11785" max="11785" width="27.140625" style="244" customWidth="1"/>
    <col min="11786" max="11786" width="7.140625" style="244" customWidth="1"/>
    <col min="11787" max="11788" width="8.5703125" style="244" customWidth="1"/>
    <col min="11789" max="11789" width="4.5703125" style="244" customWidth="1"/>
    <col min="11790" max="11790" width="7.42578125" style="244" customWidth="1"/>
    <col min="11791" max="11792" width="4.5703125" style="244" customWidth="1"/>
    <col min="11793" max="11793" width="7" style="244" customWidth="1"/>
    <col min="11794" max="11794" width="8.140625" style="244" customWidth="1"/>
    <col min="11795" max="11795" width="8" style="244" customWidth="1"/>
    <col min="11796" max="11796" width="7.140625" style="244" customWidth="1"/>
    <col min="11797" max="11797" width="6.5703125" style="244" customWidth="1"/>
    <col min="11798" max="11798" width="4.5703125" style="244" customWidth="1"/>
    <col min="11799" max="11799" width="7.85546875" style="244" customWidth="1"/>
    <col min="11800" max="11800" width="8.140625" style="244" customWidth="1"/>
    <col min="11801" max="11804" width="4.5703125" style="244" customWidth="1"/>
    <col min="11805" max="11805" width="11.5703125" style="244"/>
    <col min="11806" max="11806" width="8.42578125" style="244" customWidth="1"/>
    <col min="11807" max="11807" width="5.42578125" style="244" customWidth="1"/>
    <col min="11808" max="11809" width="5.140625" style="244" customWidth="1"/>
    <col min="11810" max="11810" width="6.42578125" style="244" customWidth="1"/>
    <col min="11811" max="11811" width="11.5703125" style="244"/>
    <col min="11812" max="11812" width="8.42578125" style="244" customWidth="1"/>
    <col min="11813" max="11813" width="3.140625" style="244" customWidth="1"/>
    <col min="11814" max="11814" width="5.140625" style="244" customWidth="1"/>
    <col min="11815" max="11815" width="7.42578125" style="244" customWidth="1"/>
    <col min="11816" max="11816" width="4.5703125" style="244" customWidth="1"/>
    <col min="11817" max="12032" width="11.5703125" style="244"/>
    <col min="12033" max="12033" width="1.85546875" style="244" customWidth="1"/>
    <col min="12034" max="12034" width="22.28515625" style="244" customWidth="1"/>
    <col min="12035" max="12036" width="4.5703125" style="244" customWidth="1"/>
    <col min="12037" max="12037" width="7.140625" style="244" customWidth="1"/>
    <col min="12038" max="12038" width="7.85546875" style="244" customWidth="1"/>
    <col min="12039" max="12039" width="4.5703125" style="244" customWidth="1"/>
    <col min="12040" max="12040" width="8.140625" style="244" customWidth="1"/>
    <col min="12041" max="12041" width="27.140625" style="244" customWidth="1"/>
    <col min="12042" max="12042" width="7.140625" style="244" customWidth="1"/>
    <col min="12043" max="12044" width="8.5703125" style="244" customWidth="1"/>
    <col min="12045" max="12045" width="4.5703125" style="244" customWidth="1"/>
    <col min="12046" max="12046" width="7.42578125" style="244" customWidth="1"/>
    <col min="12047" max="12048" width="4.5703125" style="244" customWidth="1"/>
    <col min="12049" max="12049" width="7" style="244" customWidth="1"/>
    <col min="12050" max="12050" width="8.140625" style="244" customWidth="1"/>
    <col min="12051" max="12051" width="8" style="244" customWidth="1"/>
    <col min="12052" max="12052" width="7.140625" style="244" customWidth="1"/>
    <col min="12053" max="12053" width="6.5703125" style="244" customWidth="1"/>
    <col min="12054" max="12054" width="4.5703125" style="244" customWidth="1"/>
    <col min="12055" max="12055" width="7.85546875" style="244" customWidth="1"/>
    <col min="12056" max="12056" width="8.140625" style="244" customWidth="1"/>
    <col min="12057" max="12060" width="4.5703125" style="244" customWidth="1"/>
    <col min="12061" max="12061" width="11.5703125" style="244"/>
    <col min="12062" max="12062" width="8.42578125" style="244" customWidth="1"/>
    <col min="12063" max="12063" width="5.42578125" style="244" customWidth="1"/>
    <col min="12064" max="12065" width="5.140625" style="244" customWidth="1"/>
    <col min="12066" max="12066" width="6.42578125" style="244" customWidth="1"/>
    <col min="12067" max="12067" width="11.5703125" style="244"/>
    <col min="12068" max="12068" width="8.42578125" style="244" customWidth="1"/>
    <col min="12069" max="12069" width="3.140625" style="244" customWidth="1"/>
    <col min="12070" max="12070" width="5.140625" style="244" customWidth="1"/>
    <col min="12071" max="12071" width="7.42578125" style="244" customWidth="1"/>
    <col min="12072" max="12072" width="4.5703125" style="244" customWidth="1"/>
    <col min="12073" max="12288" width="11.5703125" style="244"/>
    <col min="12289" max="12289" width="1.85546875" style="244" customWidth="1"/>
    <col min="12290" max="12290" width="22.28515625" style="244" customWidth="1"/>
    <col min="12291" max="12292" width="4.5703125" style="244" customWidth="1"/>
    <col min="12293" max="12293" width="7.140625" style="244" customWidth="1"/>
    <col min="12294" max="12294" width="7.85546875" style="244" customWidth="1"/>
    <col min="12295" max="12295" width="4.5703125" style="244" customWidth="1"/>
    <col min="12296" max="12296" width="8.140625" style="244" customWidth="1"/>
    <col min="12297" max="12297" width="27.140625" style="244" customWidth="1"/>
    <col min="12298" max="12298" width="7.140625" style="244" customWidth="1"/>
    <col min="12299" max="12300" width="8.5703125" style="244" customWidth="1"/>
    <col min="12301" max="12301" width="4.5703125" style="244" customWidth="1"/>
    <col min="12302" max="12302" width="7.42578125" style="244" customWidth="1"/>
    <col min="12303" max="12304" width="4.5703125" style="244" customWidth="1"/>
    <col min="12305" max="12305" width="7" style="244" customWidth="1"/>
    <col min="12306" max="12306" width="8.140625" style="244" customWidth="1"/>
    <col min="12307" max="12307" width="8" style="244" customWidth="1"/>
    <col min="12308" max="12308" width="7.140625" style="244" customWidth="1"/>
    <col min="12309" max="12309" width="6.5703125" style="244" customWidth="1"/>
    <col min="12310" max="12310" width="4.5703125" style="244" customWidth="1"/>
    <col min="12311" max="12311" width="7.85546875" style="244" customWidth="1"/>
    <col min="12312" max="12312" width="8.140625" style="244" customWidth="1"/>
    <col min="12313" max="12316" width="4.5703125" style="244" customWidth="1"/>
    <col min="12317" max="12317" width="11.5703125" style="244"/>
    <col min="12318" max="12318" width="8.42578125" style="244" customWidth="1"/>
    <col min="12319" max="12319" width="5.42578125" style="244" customWidth="1"/>
    <col min="12320" max="12321" width="5.140625" style="244" customWidth="1"/>
    <col min="12322" max="12322" width="6.42578125" style="244" customWidth="1"/>
    <col min="12323" max="12323" width="11.5703125" style="244"/>
    <col min="12324" max="12324" width="8.42578125" style="244" customWidth="1"/>
    <col min="12325" max="12325" width="3.140625" style="244" customWidth="1"/>
    <col min="12326" max="12326" width="5.140625" style="244" customWidth="1"/>
    <col min="12327" max="12327" width="7.42578125" style="244" customWidth="1"/>
    <col min="12328" max="12328" width="4.5703125" style="244" customWidth="1"/>
    <col min="12329" max="12544" width="11.5703125" style="244"/>
    <col min="12545" max="12545" width="1.85546875" style="244" customWidth="1"/>
    <col min="12546" max="12546" width="22.28515625" style="244" customWidth="1"/>
    <col min="12547" max="12548" width="4.5703125" style="244" customWidth="1"/>
    <col min="12549" max="12549" width="7.140625" style="244" customWidth="1"/>
    <col min="12550" max="12550" width="7.85546875" style="244" customWidth="1"/>
    <col min="12551" max="12551" width="4.5703125" style="244" customWidth="1"/>
    <col min="12552" max="12552" width="8.140625" style="244" customWidth="1"/>
    <col min="12553" max="12553" width="27.140625" style="244" customWidth="1"/>
    <col min="12554" max="12554" width="7.140625" style="244" customWidth="1"/>
    <col min="12555" max="12556" width="8.5703125" style="244" customWidth="1"/>
    <col min="12557" max="12557" width="4.5703125" style="244" customWidth="1"/>
    <col min="12558" max="12558" width="7.42578125" style="244" customWidth="1"/>
    <col min="12559" max="12560" width="4.5703125" style="244" customWidth="1"/>
    <col min="12561" max="12561" width="7" style="244" customWidth="1"/>
    <col min="12562" max="12562" width="8.140625" style="244" customWidth="1"/>
    <col min="12563" max="12563" width="8" style="244" customWidth="1"/>
    <col min="12564" max="12564" width="7.140625" style="244" customWidth="1"/>
    <col min="12565" max="12565" width="6.5703125" style="244" customWidth="1"/>
    <col min="12566" max="12566" width="4.5703125" style="244" customWidth="1"/>
    <col min="12567" max="12567" width="7.85546875" style="244" customWidth="1"/>
    <col min="12568" max="12568" width="8.140625" style="244" customWidth="1"/>
    <col min="12569" max="12572" width="4.5703125" style="244" customWidth="1"/>
    <col min="12573" max="12573" width="11.5703125" style="244"/>
    <col min="12574" max="12574" width="8.42578125" style="244" customWidth="1"/>
    <col min="12575" max="12575" width="5.42578125" style="244" customWidth="1"/>
    <col min="12576" max="12577" width="5.140625" style="244" customWidth="1"/>
    <col min="12578" max="12578" width="6.42578125" style="244" customWidth="1"/>
    <col min="12579" max="12579" width="11.5703125" style="244"/>
    <col min="12580" max="12580" width="8.42578125" style="244" customWidth="1"/>
    <col min="12581" max="12581" width="3.140625" style="244" customWidth="1"/>
    <col min="12582" max="12582" width="5.140625" style="244" customWidth="1"/>
    <col min="12583" max="12583" width="7.42578125" style="244" customWidth="1"/>
    <col min="12584" max="12584" width="4.5703125" style="244" customWidth="1"/>
    <col min="12585" max="12800" width="11.5703125" style="244"/>
    <col min="12801" max="12801" width="1.85546875" style="244" customWidth="1"/>
    <col min="12802" max="12802" width="22.28515625" style="244" customWidth="1"/>
    <col min="12803" max="12804" width="4.5703125" style="244" customWidth="1"/>
    <col min="12805" max="12805" width="7.140625" style="244" customWidth="1"/>
    <col min="12806" max="12806" width="7.85546875" style="244" customWidth="1"/>
    <col min="12807" max="12807" width="4.5703125" style="244" customWidth="1"/>
    <col min="12808" max="12808" width="8.140625" style="244" customWidth="1"/>
    <col min="12809" max="12809" width="27.140625" style="244" customWidth="1"/>
    <col min="12810" max="12810" width="7.140625" style="244" customWidth="1"/>
    <col min="12811" max="12812" width="8.5703125" style="244" customWidth="1"/>
    <col min="12813" max="12813" width="4.5703125" style="244" customWidth="1"/>
    <col min="12814" max="12814" width="7.42578125" style="244" customWidth="1"/>
    <col min="12815" max="12816" width="4.5703125" style="244" customWidth="1"/>
    <col min="12817" max="12817" width="7" style="244" customWidth="1"/>
    <col min="12818" max="12818" width="8.140625" style="244" customWidth="1"/>
    <col min="12819" max="12819" width="8" style="244" customWidth="1"/>
    <col min="12820" max="12820" width="7.140625" style="244" customWidth="1"/>
    <col min="12821" max="12821" width="6.5703125" style="244" customWidth="1"/>
    <col min="12822" max="12822" width="4.5703125" style="244" customWidth="1"/>
    <col min="12823" max="12823" width="7.85546875" style="244" customWidth="1"/>
    <col min="12824" max="12824" width="8.140625" style="244" customWidth="1"/>
    <col min="12825" max="12828" width="4.5703125" style="244" customWidth="1"/>
    <col min="12829" max="12829" width="11.5703125" style="244"/>
    <col min="12830" max="12830" width="8.42578125" style="244" customWidth="1"/>
    <col min="12831" max="12831" width="5.42578125" style="244" customWidth="1"/>
    <col min="12832" max="12833" width="5.140625" style="244" customWidth="1"/>
    <col min="12834" max="12834" width="6.42578125" style="244" customWidth="1"/>
    <col min="12835" max="12835" width="11.5703125" style="244"/>
    <col min="12836" max="12836" width="8.42578125" style="244" customWidth="1"/>
    <col min="12837" max="12837" width="3.140625" style="244" customWidth="1"/>
    <col min="12838" max="12838" width="5.140625" style="244" customWidth="1"/>
    <col min="12839" max="12839" width="7.42578125" style="244" customWidth="1"/>
    <col min="12840" max="12840" width="4.5703125" style="244" customWidth="1"/>
    <col min="12841" max="13056" width="11.5703125" style="244"/>
    <col min="13057" max="13057" width="1.85546875" style="244" customWidth="1"/>
    <col min="13058" max="13058" width="22.28515625" style="244" customWidth="1"/>
    <col min="13059" max="13060" width="4.5703125" style="244" customWidth="1"/>
    <col min="13061" max="13061" width="7.140625" style="244" customWidth="1"/>
    <col min="13062" max="13062" width="7.85546875" style="244" customWidth="1"/>
    <col min="13063" max="13063" width="4.5703125" style="244" customWidth="1"/>
    <col min="13064" max="13064" width="8.140625" style="244" customWidth="1"/>
    <col min="13065" max="13065" width="27.140625" style="244" customWidth="1"/>
    <col min="13066" max="13066" width="7.140625" style="244" customWidth="1"/>
    <col min="13067" max="13068" width="8.5703125" style="244" customWidth="1"/>
    <col min="13069" max="13069" width="4.5703125" style="244" customWidth="1"/>
    <col min="13070" max="13070" width="7.42578125" style="244" customWidth="1"/>
    <col min="13071" max="13072" width="4.5703125" style="244" customWidth="1"/>
    <col min="13073" max="13073" width="7" style="244" customWidth="1"/>
    <col min="13074" max="13074" width="8.140625" style="244" customWidth="1"/>
    <col min="13075" max="13075" width="8" style="244" customWidth="1"/>
    <col min="13076" max="13076" width="7.140625" style="244" customWidth="1"/>
    <col min="13077" max="13077" width="6.5703125" style="244" customWidth="1"/>
    <col min="13078" max="13078" width="4.5703125" style="244" customWidth="1"/>
    <col min="13079" max="13079" width="7.85546875" style="244" customWidth="1"/>
    <col min="13080" max="13080" width="8.140625" style="244" customWidth="1"/>
    <col min="13081" max="13084" width="4.5703125" style="244" customWidth="1"/>
    <col min="13085" max="13085" width="11.5703125" style="244"/>
    <col min="13086" max="13086" width="8.42578125" style="244" customWidth="1"/>
    <col min="13087" max="13087" width="5.42578125" style="244" customWidth="1"/>
    <col min="13088" max="13089" width="5.140625" style="244" customWidth="1"/>
    <col min="13090" max="13090" width="6.42578125" style="244" customWidth="1"/>
    <col min="13091" max="13091" width="11.5703125" style="244"/>
    <col min="13092" max="13092" width="8.42578125" style="244" customWidth="1"/>
    <col min="13093" max="13093" width="3.140625" style="244" customWidth="1"/>
    <col min="13094" max="13094" width="5.140625" style="244" customWidth="1"/>
    <col min="13095" max="13095" width="7.42578125" style="244" customWidth="1"/>
    <col min="13096" max="13096" width="4.5703125" style="244" customWidth="1"/>
    <col min="13097" max="13312" width="11.5703125" style="244"/>
    <col min="13313" max="13313" width="1.85546875" style="244" customWidth="1"/>
    <col min="13314" max="13314" width="22.28515625" style="244" customWidth="1"/>
    <col min="13315" max="13316" width="4.5703125" style="244" customWidth="1"/>
    <col min="13317" max="13317" width="7.140625" style="244" customWidth="1"/>
    <col min="13318" max="13318" width="7.85546875" style="244" customWidth="1"/>
    <col min="13319" max="13319" width="4.5703125" style="244" customWidth="1"/>
    <col min="13320" max="13320" width="8.140625" style="244" customWidth="1"/>
    <col min="13321" max="13321" width="27.140625" style="244" customWidth="1"/>
    <col min="13322" max="13322" width="7.140625" style="244" customWidth="1"/>
    <col min="13323" max="13324" width="8.5703125" style="244" customWidth="1"/>
    <col min="13325" max="13325" width="4.5703125" style="244" customWidth="1"/>
    <col min="13326" max="13326" width="7.42578125" style="244" customWidth="1"/>
    <col min="13327" max="13328" width="4.5703125" style="244" customWidth="1"/>
    <col min="13329" max="13329" width="7" style="244" customWidth="1"/>
    <col min="13330" max="13330" width="8.140625" style="244" customWidth="1"/>
    <col min="13331" max="13331" width="8" style="244" customWidth="1"/>
    <col min="13332" max="13332" width="7.140625" style="244" customWidth="1"/>
    <col min="13333" max="13333" width="6.5703125" style="244" customWidth="1"/>
    <col min="13334" max="13334" width="4.5703125" style="244" customWidth="1"/>
    <col min="13335" max="13335" width="7.85546875" style="244" customWidth="1"/>
    <col min="13336" max="13336" width="8.140625" style="244" customWidth="1"/>
    <col min="13337" max="13340" width="4.5703125" style="244" customWidth="1"/>
    <col min="13341" max="13341" width="11.5703125" style="244"/>
    <col min="13342" max="13342" width="8.42578125" style="244" customWidth="1"/>
    <col min="13343" max="13343" width="5.42578125" style="244" customWidth="1"/>
    <col min="13344" max="13345" width="5.140625" style="244" customWidth="1"/>
    <col min="13346" max="13346" width="6.42578125" style="244" customWidth="1"/>
    <col min="13347" max="13347" width="11.5703125" style="244"/>
    <col min="13348" max="13348" width="8.42578125" style="244" customWidth="1"/>
    <col min="13349" max="13349" width="3.140625" style="244" customWidth="1"/>
    <col min="13350" max="13350" width="5.140625" style="244" customWidth="1"/>
    <col min="13351" max="13351" width="7.42578125" style="244" customWidth="1"/>
    <col min="13352" max="13352" width="4.5703125" style="244" customWidth="1"/>
    <col min="13353" max="13568" width="11.5703125" style="244"/>
    <col min="13569" max="13569" width="1.85546875" style="244" customWidth="1"/>
    <col min="13570" max="13570" width="22.28515625" style="244" customWidth="1"/>
    <col min="13571" max="13572" width="4.5703125" style="244" customWidth="1"/>
    <col min="13573" max="13573" width="7.140625" style="244" customWidth="1"/>
    <col min="13574" max="13574" width="7.85546875" style="244" customWidth="1"/>
    <col min="13575" max="13575" width="4.5703125" style="244" customWidth="1"/>
    <col min="13576" max="13576" width="8.140625" style="244" customWidth="1"/>
    <col min="13577" max="13577" width="27.140625" style="244" customWidth="1"/>
    <col min="13578" max="13578" width="7.140625" style="244" customWidth="1"/>
    <col min="13579" max="13580" width="8.5703125" style="244" customWidth="1"/>
    <col min="13581" max="13581" width="4.5703125" style="244" customWidth="1"/>
    <col min="13582" max="13582" width="7.42578125" style="244" customWidth="1"/>
    <col min="13583" max="13584" width="4.5703125" style="244" customWidth="1"/>
    <col min="13585" max="13585" width="7" style="244" customWidth="1"/>
    <col min="13586" max="13586" width="8.140625" style="244" customWidth="1"/>
    <col min="13587" max="13587" width="8" style="244" customWidth="1"/>
    <col min="13588" max="13588" width="7.140625" style="244" customWidth="1"/>
    <col min="13589" max="13589" width="6.5703125" style="244" customWidth="1"/>
    <col min="13590" max="13590" width="4.5703125" style="244" customWidth="1"/>
    <col min="13591" max="13591" width="7.85546875" style="244" customWidth="1"/>
    <col min="13592" max="13592" width="8.140625" style="244" customWidth="1"/>
    <col min="13593" max="13596" width="4.5703125" style="244" customWidth="1"/>
    <col min="13597" max="13597" width="11.5703125" style="244"/>
    <col min="13598" max="13598" width="8.42578125" style="244" customWidth="1"/>
    <col min="13599" max="13599" width="5.42578125" style="244" customWidth="1"/>
    <col min="13600" max="13601" width="5.140625" style="244" customWidth="1"/>
    <col min="13602" max="13602" width="6.42578125" style="244" customWidth="1"/>
    <col min="13603" max="13603" width="11.5703125" style="244"/>
    <col min="13604" max="13604" width="8.42578125" style="244" customWidth="1"/>
    <col min="13605" max="13605" width="3.140625" style="244" customWidth="1"/>
    <col min="13606" max="13606" width="5.140625" style="244" customWidth="1"/>
    <col min="13607" max="13607" width="7.42578125" style="244" customWidth="1"/>
    <col min="13608" max="13608" width="4.5703125" style="244" customWidth="1"/>
    <col min="13609" max="13824" width="11.5703125" style="244"/>
    <col min="13825" max="13825" width="1.85546875" style="244" customWidth="1"/>
    <col min="13826" max="13826" width="22.28515625" style="244" customWidth="1"/>
    <col min="13827" max="13828" width="4.5703125" style="244" customWidth="1"/>
    <col min="13829" max="13829" width="7.140625" style="244" customWidth="1"/>
    <col min="13830" max="13830" width="7.85546875" style="244" customWidth="1"/>
    <col min="13831" max="13831" width="4.5703125" style="244" customWidth="1"/>
    <col min="13832" max="13832" width="8.140625" style="244" customWidth="1"/>
    <col min="13833" max="13833" width="27.140625" style="244" customWidth="1"/>
    <col min="13834" max="13834" width="7.140625" style="244" customWidth="1"/>
    <col min="13835" max="13836" width="8.5703125" style="244" customWidth="1"/>
    <col min="13837" max="13837" width="4.5703125" style="244" customWidth="1"/>
    <col min="13838" max="13838" width="7.42578125" style="244" customWidth="1"/>
    <col min="13839" max="13840" width="4.5703125" style="244" customWidth="1"/>
    <col min="13841" max="13841" width="7" style="244" customWidth="1"/>
    <col min="13842" max="13842" width="8.140625" style="244" customWidth="1"/>
    <col min="13843" max="13843" width="8" style="244" customWidth="1"/>
    <col min="13844" max="13844" width="7.140625" style="244" customWidth="1"/>
    <col min="13845" max="13845" width="6.5703125" style="244" customWidth="1"/>
    <col min="13846" max="13846" width="4.5703125" style="244" customWidth="1"/>
    <col min="13847" max="13847" width="7.85546875" style="244" customWidth="1"/>
    <col min="13848" max="13848" width="8.140625" style="244" customWidth="1"/>
    <col min="13849" max="13852" width="4.5703125" style="244" customWidth="1"/>
    <col min="13853" max="13853" width="11.5703125" style="244"/>
    <col min="13854" max="13854" width="8.42578125" style="244" customWidth="1"/>
    <col min="13855" max="13855" width="5.42578125" style="244" customWidth="1"/>
    <col min="13856" max="13857" width="5.140625" style="244" customWidth="1"/>
    <col min="13858" max="13858" width="6.42578125" style="244" customWidth="1"/>
    <col min="13859" max="13859" width="11.5703125" style="244"/>
    <col min="13860" max="13860" width="8.42578125" style="244" customWidth="1"/>
    <col min="13861" max="13861" width="3.140625" style="244" customWidth="1"/>
    <col min="13862" max="13862" width="5.140625" style="244" customWidth="1"/>
    <col min="13863" max="13863" width="7.42578125" style="244" customWidth="1"/>
    <col min="13864" max="13864" width="4.5703125" style="244" customWidth="1"/>
    <col min="13865" max="14080" width="11.5703125" style="244"/>
    <col min="14081" max="14081" width="1.85546875" style="244" customWidth="1"/>
    <col min="14082" max="14082" width="22.28515625" style="244" customWidth="1"/>
    <col min="14083" max="14084" width="4.5703125" style="244" customWidth="1"/>
    <col min="14085" max="14085" width="7.140625" style="244" customWidth="1"/>
    <col min="14086" max="14086" width="7.85546875" style="244" customWidth="1"/>
    <col min="14087" max="14087" width="4.5703125" style="244" customWidth="1"/>
    <col min="14088" max="14088" width="8.140625" style="244" customWidth="1"/>
    <col min="14089" max="14089" width="27.140625" style="244" customWidth="1"/>
    <col min="14090" max="14090" width="7.140625" style="244" customWidth="1"/>
    <col min="14091" max="14092" width="8.5703125" style="244" customWidth="1"/>
    <col min="14093" max="14093" width="4.5703125" style="244" customWidth="1"/>
    <col min="14094" max="14094" width="7.42578125" style="244" customWidth="1"/>
    <col min="14095" max="14096" width="4.5703125" style="244" customWidth="1"/>
    <col min="14097" max="14097" width="7" style="244" customWidth="1"/>
    <col min="14098" max="14098" width="8.140625" style="244" customWidth="1"/>
    <col min="14099" max="14099" width="8" style="244" customWidth="1"/>
    <col min="14100" max="14100" width="7.140625" style="244" customWidth="1"/>
    <col min="14101" max="14101" width="6.5703125" style="244" customWidth="1"/>
    <col min="14102" max="14102" width="4.5703125" style="244" customWidth="1"/>
    <col min="14103" max="14103" width="7.85546875" style="244" customWidth="1"/>
    <col min="14104" max="14104" width="8.140625" style="244" customWidth="1"/>
    <col min="14105" max="14108" width="4.5703125" style="244" customWidth="1"/>
    <col min="14109" max="14109" width="11.5703125" style="244"/>
    <col min="14110" max="14110" width="8.42578125" style="244" customWidth="1"/>
    <col min="14111" max="14111" width="5.42578125" style="244" customWidth="1"/>
    <col min="14112" max="14113" width="5.140625" style="244" customWidth="1"/>
    <col min="14114" max="14114" width="6.42578125" style="244" customWidth="1"/>
    <col min="14115" max="14115" width="11.5703125" style="244"/>
    <col min="14116" max="14116" width="8.42578125" style="244" customWidth="1"/>
    <col min="14117" max="14117" width="3.140625" style="244" customWidth="1"/>
    <col min="14118" max="14118" width="5.140625" style="244" customWidth="1"/>
    <col min="14119" max="14119" width="7.42578125" style="244" customWidth="1"/>
    <col min="14120" max="14120" width="4.5703125" style="244" customWidth="1"/>
    <col min="14121" max="14336" width="11.5703125" style="244"/>
    <col min="14337" max="14337" width="1.85546875" style="244" customWidth="1"/>
    <col min="14338" max="14338" width="22.28515625" style="244" customWidth="1"/>
    <col min="14339" max="14340" width="4.5703125" style="244" customWidth="1"/>
    <col min="14341" max="14341" width="7.140625" style="244" customWidth="1"/>
    <col min="14342" max="14342" width="7.85546875" style="244" customWidth="1"/>
    <col min="14343" max="14343" width="4.5703125" style="244" customWidth="1"/>
    <col min="14344" max="14344" width="8.140625" style="244" customWidth="1"/>
    <col min="14345" max="14345" width="27.140625" style="244" customWidth="1"/>
    <col min="14346" max="14346" width="7.140625" style="244" customWidth="1"/>
    <col min="14347" max="14348" width="8.5703125" style="244" customWidth="1"/>
    <col min="14349" max="14349" width="4.5703125" style="244" customWidth="1"/>
    <col min="14350" max="14350" width="7.42578125" style="244" customWidth="1"/>
    <col min="14351" max="14352" width="4.5703125" style="244" customWidth="1"/>
    <col min="14353" max="14353" width="7" style="244" customWidth="1"/>
    <col min="14354" max="14354" width="8.140625" style="244" customWidth="1"/>
    <col min="14355" max="14355" width="8" style="244" customWidth="1"/>
    <col min="14356" max="14356" width="7.140625" style="244" customWidth="1"/>
    <col min="14357" max="14357" width="6.5703125" style="244" customWidth="1"/>
    <col min="14358" max="14358" width="4.5703125" style="244" customWidth="1"/>
    <col min="14359" max="14359" width="7.85546875" style="244" customWidth="1"/>
    <col min="14360" max="14360" width="8.140625" style="244" customWidth="1"/>
    <col min="14361" max="14364" width="4.5703125" style="244" customWidth="1"/>
    <col min="14365" max="14365" width="11.5703125" style="244"/>
    <col min="14366" max="14366" width="8.42578125" style="244" customWidth="1"/>
    <col min="14367" max="14367" width="5.42578125" style="244" customWidth="1"/>
    <col min="14368" max="14369" width="5.140625" style="244" customWidth="1"/>
    <col min="14370" max="14370" width="6.42578125" style="244" customWidth="1"/>
    <col min="14371" max="14371" width="11.5703125" style="244"/>
    <col min="14372" max="14372" width="8.42578125" style="244" customWidth="1"/>
    <col min="14373" max="14373" width="3.140625" style="244" customWidth="1"/>
    <col min="14374" max="14374" width="5.140625" style="244" customWidth="1"/>
    <col min="14375" max="14375" width="7.42578125" style="244" customWidth="1"/>
    <col min="14376" max="14376" width="4.5703125" style="244" customWidth="1"/>
    <col min="14377" max="14592" width="11.5703125" style="244"/>
    <col min="14593" max="14593" width="1.85546875" style="244" customWidth="1"/>
    <col min="14594" max="14594" width="22.28515625" style="244" customWidth="1"/>
    <col min="14595" max="14596" width="4.5703125" style="244" customWidth="1"/>
    <col min="14597" max="14597" width="7.140625" style="244" customWidth="1"/>
    <col min="14598" max="14598" width="7.85546875" style="244" customWidth="1"/>
    <col min="14599" max="14599" width="4.5703125" style="244" customWidth="1"/>
    <col min="14600" max="14600" width="8.140625" style="244" customWidth="1"/>
    <col min="14601" max="14601" width="27.140625" style="244" customWidth="1"/>
    <col min="14602" max="14602" width="7.140625" style="244" customWidth="1"/>
    <col min="14603" max="14604" width="8.5703125" style="244" customWidth="1"/>
    <col min="14605" max="14605" width="4.5703125" style="244" customWidth="1"/>
    <col min="14606" max="14606" width="7.42578125" style="244" customWidth="1"/>
    <col min="14607" max="14608" width="4.5703125" style="244" customWidth="1"/>
    <col min="14609" max="14609" width="7" style="244" customWidth="1"/>
    <col min="14610" max="14610" width="8.140625" style="244" customWidth="1"/>
    <col min="14611" max="14611" width="8" style="244" customWidth="1"/>
    <col min="14612" max="14612" width="7.140625" style="244" customWidth="1"/>
    <col min="14613" max="14613" width="6.5703125" style="244" customWidth="1"/>
    <col min="14614" max="14614" width="4.5703125" style="244" customWidth="1"/>
    <col min="14615" max="14615" width="7.85546875" style="244" customWidth="1"/>
    <col min="14616" max="14616" width="8.140625" style="244" customWidth="1"/>
    <col min="14617" max="14620" width="4.5703125" style="244" customWidth="1"/>
    <col min="14621" max="14621" width="11.5703125" style="244"/>
    <col min="14622" max="14622" width="8.42578125" style="244" customWidth="1"/>
    <col min="14623" max="14623" width="5.42578125" style="244" customWidth="1"/>
    <col min="14624" max="14625" width="5.140625" style="244" customWidth="1"/>
    <col min="14626" max="14626" width="6.42578125" style="244" customWidth="1"/>
    <col min="14627" max="14627" width="11.5703125" style="244"/>
    <col min="14628" max="14628" width="8.42578125" style="244" customWidth="1"/>
    <col min="14629" max="14629" width="3.140625" style="244" customWidth="1"/>
    <col min="14630" max="14630" width="5.140625" style="244" customWidth="1"/>
    <col min="14631" max="14631" width="7.42578125" style="244" customWidth="1"/>
    <col min="14632" max="14632" width="4.5703125" style="244" customWidth="1"/>
    <col min="14633" max="14848" width="11.5703125" style="244"/>
    <col min="14849" max="14849" width="1.85546875" style="244" customWidth="1"/>
    <col min="14850" max="14850" width="22.28515625" style="244" customWidth="1"/>
    <col min="14851" max="14852" width="4.5703125" style="244" customWidth="1"/>
    <col min="14853" max="14853" width="7.140625" style="244" customWidth="1"/>
    <col min="14854" max="14854" width="7.85546875" style="244" customWidth="1"/>
    <col min="14855" max="14855" width="4.5703125" style="244" customWidth="1"/>
    <col min="14856" max="14856" width="8.140625" style="244" customWidth="1"/>
    <col min="14857" max="14857" width="27.140625" style="244" customWidth="1"/>
    <col min="14858" max="14858" width="7.140625" style="244" customWidth="1"/>
    <col min="14859" max="14860" width="8.5703125" style="244" customWidth="1"/>
    <col min="14861" max="14861" width="4.5703125" style="244" customWidth="1"/>
    <col min="14862" max="14862" width="7.42578125" style="244" customWidth="1"/>
    <col min="14863" max="14864" width="4.5703125" style="244" customWidth="1"/>
    <col min="14865" max="14865" width="7" style="244" customWidth="1"/>
    <col min="14866" max="14866" width="8.140625" style="244" customWidth="1"/>
    <col min="14867" max="14867" width="8" style="244" customWidth="1"/>
    <col min="14868" max="14868" width="7.140625" style="244" customWidth="1"/>
    <col min="14869" max="14869" width="6.5703125" style="244" customWidth="1"/>
    <col min="14870" max="14870" width="4.5703125" style="244" customWidth="1"/>
    <col min="14871" max="14871" width="7.85546875" style="244" customWidth="1"/>
    <col min="14872" max="14872" width="8.140625" style="244" customWidth="1"/>
    <col min="14873" max="14876" width="4.5703125" style="244" customWidth="1"/>
    <col min="14877" max="14877" width="11.5703125" style="244"/>
    <col min="14878" max="14878" width="8.42578125" style="244" customWidth="1"/>
    <col min="14879" max="14879" width="5.42578125" style="244" customWidth="1"/>
    <col min="14880" max="14881" width="5.140625" style="244" customWidth="1"/>
    <col min="14882" max="14882" width="6.42578125" style="244" customWidth="1"/>
    <col min="14883" max="14883" width="11.5703125" style="244"/>
    <col min="14884" max="14884" width="8.42578125" style="244" customWidth="1"/>
    <col min="14885" max="14885" width="3.140625" style="244" customWidth="1"/>
    <col min="14886" max="14886" width="5.140625" style="244" customWidth="1"/>
    <col min="14887" max="14887" width="7.42578125" style="244" customWidth="1"/>
    <col min="14888" max="14888" width="4.5703125" style="244" customWidth="1"/>
    <col min="14889" max="15104" width="11.5703125" style="244"/>
    <col min="15105" max="15105" width="1.85546875" style="244" customWidth="1"/>
    <col min="15106" max="15106" width="22.28515625" style="244" customWidth="1"/>
    <col min="15107" max="15108" width="4.5703125" style="244" customWidth="1"/>
    <col min="15109" max="15109" width="7.140625" style="244" customWidth="1"/>
    <col min="15110" max="15110" width="7.85546875" style="244" customWidth="1"/>
    <col min="15111" max="15111" width="4.5703125" style="244" customWidth="1"/>
    <col min="15112" max="15112" width="8.140625" style="244" customWidth="1"/>
    <col min="15113" max="15113" width="27.140625" style="244" customWidth="1"/>
    <col min="15114" max="15114" width="7.140625" style="244" customWidth="1"/>
    <col min="15115" max="15116" width="8.5703125" style="244" customWidth="1"/>
    <col min="15117" max="15117" width="4.5703125" style="244" customWidth="1"/>
    <col min="15118" max="15118" width="7.42578125" style="244" customWidth="1"/>
    <col min="15119" max="15120" width="4.5703125" style="244" customWidth="1"/>
    <col min="15121" max="15121" width="7" style="244" customWidth="1"/>
    <col min="15122" max="15122" width="8.140625" style="244" customWidth="1"/>
    <col min="15123" max="15123" width="8" style="244" customWidth="1"/>
    <col min="15124" max="15124" width="7.140625" style="244" customWidth="1"/>
    <col min="15125" max="15125" width="6.5703125" style="244" customWidth="1"/>
    <col min="15126" max="15126" width="4.5703125" style="244" customWidth="1"/>
    <col min="15127" max="15127" width="7.85546875" style="244" customWidth="1"/>
    <col min="15128" max="15128" width="8.140625" style="244" customWidth="1"/>
    <col min="15129" max="15132" width="4.5703125" style="244" customWidth="1"/>
    <col min="15133" max="15133" width="11.5703125" style="244"/>
    <col min="15134" max="15134" width="8.42578125" style="244" customWidth="1"/>
    <col min="15135" max="15135" width="5.42578125" style="244" customWidth="1"/>
    <col min="15136" max="15137" width="5.140625" style="244" customWidth="1"/>
    <col min="15138" max="15138" width="6.42578125" style="244" customWidth="1"/>
    <col min="15139" max="15139" width="11.5703125" style="244"/>
    <col min="15140" max="15140" width="8.42578125" style="244" customWidth="1"/>
    <col min="15141" max="15141" width="3.140625" style="244" customWidth="1"/>
    <col min="15142" max="15142" width="5.140625" style="244" customWidth="1"/>
    <col min="15143" max="15143" width="7.42578125" style="244" customWidth="1"/>
    <col min="15144" max="15144" width="4.5703125" style="244" customWidth="1"/>
    <col min="15145" max="15360" width="11.5703125" style="244"/>
    <col min="15361" max="15361" width="1.85546875" style="244" customWidth="1"/>
    <col min="15362" max="15362" width="22.28515625" style="244" customWidth="1"/>
    <col min="15363" max="15364" width="4.5703125" style="244" customWidth="1"/>
    <col min="15365" max="15365" width="7.140625" style="244" customWidth="1"/>
    <col min="15366" max="15366" width="7.85546875" style="244" customWidth="1"/>
    <col min="15367" max="15367" width="4.5703125" style="244" customWidth="1"/>
    <col min="15368" max="15368" width="8.140625" style="244" customWidth="1"/>
    <col min="15369" max="15369" width="27.140625" style="244" customWidth="1"/>
    <col min="15370" max="15370" width="7.140625" style="244" customWidth="1"/>
    <col min="15371" max="15372" width="8.5703125" style="244" customWidth="1"/>
    <col min="15373" max="15373" width="4.5703125" style="244" customWidth="1"/>
    <col min="15374" max="15374" width="7.42578125" style="244" customWidth="1"/>
    <col min="15375" max="15376" width="4.5703125" style="244" customWidth="1"/>
    <col min="15377" max="15377" width="7" style="244" customWidth="1"/>
    <col min="15378" max="15378" width="8.140625" style="244" customWidth="1"/>
    <col min="15379" max="15379" width="8" style="244" customWidth="1"/>
    <col min="15380" max="15380" width="7.140625" style="244" customWidth="1"/>
    <col min="15381" max="15381" width="6.5703125" style="244" customWidth="1"/>
    <col min="15382" max="15382" width="4.5703125" style="244" customWidth="1"/>
    <col min="15383" max="15383" width="7.85546875" style="244" customWidth="1"/>
    <col min="15384" max="15384" width="8.140625" style="244" customWidth="1"/>
    <col min="15385" max="15388" width="4.5703125" style="244" customWidth="1"/>
    <col min="15389" max="15389" width="11.5703125" style="244"/>
    <col min="15390" max="15390" width="8.42578125" style="244" customWidth="1"/>
    <col min="15391" max="15391" width="5.42578125" style="244" customWidth="1"/>
    <col min="15392" max="15393" width="5.140625" style="244" customWidth="1"/>
    <col min="15394" max="15394" width="6.42578125" style="244" customWidth="1"/>
    <col min="15395" max="15395" width="11.5703125" style="244"/>
    <col min="15396" max="15396" width="8.42578125" style="244" customWidth="1"/>
    <col min="15397" max="15397" width="3.140625" style="244" customWidth="1"/>
    <col min="15398" max="15398" width="5.140625" style="244" customWidth="1"/>
    <col min="15399" max="15399" width="7.42578125" style="244" customWidth="1"/>
    <col min="15400" max="15400" width="4.5703125" style="244" customWidth="1"/>
    <col min="15401" max="15616" width="11.5703125" style="244"/>
    <col min="15617" max="15617" width="1.85546875" style="244" customWidth="1"/>
    <col min="15618" max="15618" width="22.28515625" style="244" customWidth="1"/>
    <col min="15619" max="15620" width="4.5703125" style="244" customWidth="1"/>
    <col min="15621" max="15621" width="7.140625" style="244" customWidth="1"/>
    <col min="15622" max="15622" width="7.85546875" style="244" customWidth="1"/>
    <col min="15623" max="15623" width="4.5703125" style="244" customWidth="1"/>
    <col min="15624" max="15624" width="8.140625" style="244" customWidth="1"/>
    <col min="15625" max="15625" width="27.140625" style="244" customWidth="1"/>
    <col min="15626" max="15626" width="7.140625" style="244" customWidth="1"/>
    <col min="15627" max="15628" width="8.5703125" style="244" customWidth="1"/>
    <col min="15629" max="15629" width="4.5703125" style="244" customWidth="1"/>
    <col min="15630" max="15630" width="7.42578125" style="244" customWidth="1"/>
    <col min="15631" max="15632" width="4.5703125" style="244" customWidth="1"/>
    <col min="15633" max="15633" width="7" style="244" customWidth="1"/>
    <col min="15634" max="15634" width="8.140625" style="244" customWidth="1"/>
    <col min="15635" max="15635" width="8" style="244" customWidth="1"/>
    <col min="15636" max="15636" width="7.140625" style="244" customWidth="1"/>
    <col min="15637" max="15637" width="6.5703125" style="244" customWidth="1"/>
    <col min="15638" max="15638" width="4.5703125" style="244" customWidth="1"/>
    <col min="15639" max="15639" width="7.85546875" style="244" customWidth="1"/>
    <col min="15640" max="15640" width="8.140625" style="244" customWidth="1"/>
    <col min="15641" max="15644" width="4.5703125" style="244" customWidth="1"/>
    <col min="15645" max="15645" width="11.5703125" style="244"/>
    <col min="15646" max="15646" width="8.42578125" style="244" customWidth="1"/>
    <col min="15647" max="15647" width="5.42578125" style="244" customWidth="1"/>
    <col min="15648" max="15649" width="5.140625" style="244" customWidth="1"/>
    <col min="15650" max="15650" width="6.42578125" style="244" customWidth="1"/>
    <col min="15651" max="15651" width="11.5703125" style="244"/>
    <col min="15652" max="15652" width="8.42578125" style="244" customWidth="1"/>
    <col min="15653" max="15653" width="3.140625" style="244" customWidth="1"/>
    <col min="15654" max="15654" width="5.140625" style="244" customWidth="1"/>
    <col min="15655" max="15655" width="7.42578125" style="244" customWidth="1"/>
    <col min="15656" max="15656" width="4.5703125" style="244" customWidth="1"/>
    <col min="15657" max="15872" width="11.5703125" style="244"/>
    <col min="15873" max="15873" width="1.85546875" style="244" customWidth="1"/>
    <col min="15874" max="15874" width="22.28515625" style="244" customWidth="1"/>
    <col min="15875" max="15876" width="4.5703125" style="244" customWidth="1"/>
    <col min="15877" max="15877" width="7.140625" style="244" customWidth="1"/>
    <col min="15878" max="15878" width="7.85546875" style="244" customWidth="1"/>
    <col min="15879" max="15879" width="4.5703125" style="244" customWidth="1"/>
    <col min="15880" max="15880" width="8.140625" style="244" customWidth="1"/>
    <col min="15881" max="15881" width="27.140625" style="244" customWidth="1"/>
    <col min="15882" max="15882" width="7.140625" style="244" customWidth="1"/>
    <col min="15883" max="15884" width="8.5703125" style="244" customWidth="1"/>
    <col min="15885" max="15885" width="4.5703125" style="244" customWidth="1"/>
    <col min="15886" max="15886" width="7.42578125" style="244" customWidth="1"/>
    <col min="15887" max="15888" width="4.5703125" style="244" customWidth="1"/>
    <col min="15889" max="15889" width="7" style="244" customWidth="1"/>
    <col min="15890" max="15890" width="8.140625" style="244" customWidth="1"/>
    <col min="15891" max="15891" width="8" style="244" customWidth="1"/>
    <col min="15892" max="15892" width="7.140625" style="244" customWidth="1"/>
    <col min="15893" max="15893" width="6.5703125" style="244" customWidth="1"/>
    <col min="15894" max="15894" width="4.5703125" style="244" customWidth="1"/>
    <col min="15895" max="15895" width="7.85546875" style="244" customWidth="1"/>
    <col min="15896" max="15896" width="8.140625" style="244" customWidth="1"/>
    <col min="15897" max="15900" width="4.5703125" style="244" customWidth="1"/>
    <col min="15901" max="15901" width="11.5703125" style="244"/>
    <col min="15902" max="15902" width="8.42578125" style="244" customWidth="1"/>
    <col min="15903" max="15903" width="5.42578125" style="244" customWidth="1"/>
    <col min="15904" max="15905" width="5.140625" style="244" customWidth="1"/>
    <col min="15906" max="15906" width="6.42578125" style="244" customWidth="1"/>
    <col min="15907" max="15907" width="11.5703125" style="244"/>
    <col min="15908" max="15908" width="8.42578125" style="244" customWidth="1"/>
    <col min="15909" max="15909" width="3.140625" style="244" customWidth="1"/>
    <col min="15910" max="15910" width="5.140625" style="244" customWidth="1"/>
    <col min="15911" max="15911" width="7.42578125" style="244" customWidth="1"/>
    <col min="15912" max="15912" width="4.5703125" style="244" customWidth="1"/>
    <col min="15913" max="16128" width="11.5703125" style="244"/>
    <col min="16129" max="16129" width="1.85546875" style="244" customWidth="1"/>
    <col min="16130" max="16130" width="22.28515625" style="244" customWidth="1"/>
    <col min="16131" max="16132" width="4.5703125" style="244" customWidth="1"/>
    <col min="16133" max="16133" width="7.140625" style="244" customWidth="1"/>
    <col min="16134" max="16134" width="7.85546875" style="244" customWidth="1"/>
    <col min="16135" max="16135" width="4.5703125" style="244" customWidth="1"/>
    <col min="16136" max="16136" width="8.140625" style="244" customWidth="1"/>
    <col min="16137" max="16137" width="27.140625" style="244" customWidth="1"/>
    <col min="16138" max="16138" width="7.140625" style="244" customWidth="1"/>
    <col min="16139" max="16140" width="8.5703125" style="244" customWidth="1"/>
    <col min="16141" max="16141" width="4.5703125" style="244" customWidth="1"/>
    <col min="16142" max="16142" width="7.42578125" style="244" customWidth="1"/>
    <col min="16143" max="16144" width="4.5703125" style="244" customWidth="1"/>
    <col min="16145" max="16145" width="7" style="244" customWidth="1"/>
    <col min="16146" max="16146" width="8.140625" style="244" customWidth="1"/>
    <col min="16147" max="16147" width="8" style="244" customWidth="1"/>
    <col min="16148" max="16148" width="7.140625" style="244" customWidth="1"/>
    <col min="16149" max="16149" width="6.5703125" style="244" customWidth="1"/>
    <col min="16150" max="16150" width="4.5703125" style="244" customWidth="1"/>
    <col min="16151" max="16151" width="7.85546875" style="244" customWidth="1"/>
    <col min="16152" max="16152" width="8.140625" style="244" customWidth="1"/>
    <col min="16153" max="16156" width="4.5703125" style="244" customWidth="1"/>
    <col min="16157" max="16157" width="11.5703125" style="244"/>
    <col min="16158" max="16158" width="8.42578125" style="244" customWidth="1"/>
    <col min="16159" max="16159" width="5.42578125" style="244" customWidth="1"/>
    <col min="16160" max="16161" width="5.140625" style="244" customWidth="1"/>
    <col min="16162" max="16162" width="6.42578125" style="244" customWidth="1"/>
    <col min="16163" max="16163" width="11.5703125" style="244"/>
    <col min="16164" max="16164" width="8.42578125" style="244" customWidth="1"/>
    <col min="16165" max="16165" width="3.140625" style="244" customWidth="1"/>
    <col min="16166" max="16166" width="5.140625" style="244" customWidth="1"/>
    <col min="16167" max="16167" width="7.42578125" style="244" customWidth="1"/>
    <col min="16168" max="16168" width="4.5703125" style="244" customWidth="1"/>
    <col min="16169" max="16384" width="11.5703125" style="244"/>
  </cols>
  <sheetData>
    <row r="1" spans="3:19" ht="15" thickBot="1"/>
    <row r="2" spans="3:19">
      <c r="C2" s="530" t="s">
        <v>512</v>
      </c>
      <c r="D2" s="531"/>
      <c r="E2" s="531"/>
      <c r="F2" s="531"/>
      <c r="G2" s="531"/>
      <c r="H2" s="531"/>
      <c r="I2" s="531"/>
      <c r="J2" s="531"/>
      <c r="K2" s="531"/>
      <c r="L2" s="531"/>
      <c r="M2" s="531"/>
      <c r="N2" s="531"/>
      <c r="O2" s="531"/>
      <c r="P2" s="532"/>
    </row>
    <row r="3" spans="3:19" ht="15" thickBot="1">
      <c r="C3" s="533"/>
      <c r="D3" s="534"/>
      <c r="E3" s="534"/>
      <c r="F3" s="534"/>
      <c r="G3" s="534"/>
      <c r="H3" s="534"/>
      <c r="I3" s="534"/>
      <c r="J3" s="534"/>
      <c r="K3" s="534"/>
      <c r="L3" s="534"/>
      <c r="M3" s="534"/>
      <c r="N3" s="534"/>
      <c r="O3" s="534"/>
      <c r="P3" s="535"/>
    </row>
    <row r="4" spans="3:19" ht="27" customHeight="1">
      <c r="C4" s="536" t="s">
        <v>513</v>
      </c>
      <c r="D4" s="537"/>
      <c r="E4" s="537"/>
      <c r="F4" s="537"/>
      <c r="G4" s="537"/>
      <c r="H4" s="537"/>
      <c r="I4" s="537"/>
      <c r="J4" s="236">
        <v>1145</v>
      </c>
      <c r="K4" s="538">
        <v>0</v>
      </c>
      <c r="L4" s="538"/>
      <c r="M4" s="538"/>
      <c r="N4" s="538"/>
      <c r="O4" s="538"/>
      <c r="P4" s="245" t="s">
        <v>308</v>
      </c>
    </row>
    <row r="5" spans="3:19" ht="27" customHeight="1">
      <c r="C5" s="325" t="s">
        <v>514</v>
      </c>
      <c r="D5" s="326"/>
      <c r="E5" s="326"/>
      <c r="F5" s="326"/>
      <c r="G5" s="326"/>
      <c r="H5" s="326"/>
      <c r="I5" s="326"/>
      <c r="J5" s="237">
        <v>1146</v>
      </c>
      <c r="K5" s="539">
        <v>0</v>
      </c>
      <c r="L5" s="539"/>
      <c r="M5" s="539"/>
      <c r="N5" s="539"/>
      <c r="O5" s="539"/>
      <c r="P5" s="246" t="s">
        <v>309</v>
      </c>
    </row>
    <row r="6" spans="3:19" ht="27" customHeight="1">
      <c r="C6" s="325" t="s">
        <v>515</v>
      </c>
      <c r="D6" s="326"/>
      <c r="E6" s="326"/>
      <c r="F6" s="326"/>
      <c r="G6" s="326"/>
      <c r="H6" s="326"/>
      <c r="I6" s="326"/>
      <c r="J6" s="237">
        <v>1177</v>
      </c>
      <c r="K6" s="539">
        <f>+K4*13.3%</f>
        <v>0</v>
      </c>
      <c r="L6" s="539"/>
      <c r="M6" s="539"/>
      <c r="N6" s="539"/>
      <c r="O6" s="539"/>
      <c r="P6" s="247" t="s">
        <v>308</v>
      </c>
    </row>
    <row r="7" spans="3:19" ht="27" customHeight="1">
      <c r="C7" s="325" t="s">
        <v>516</v>
      </c>
      <c r="D7" s="326"/>
      <c r="E7" s="326"/>
      <c r="F7" s="326"/>
      <c r="G7" s="326"/>
      <c r="H7" s="326"/>
      <c r="I7" s="326"/>
      <c r="J7" s="237">
        <v>893</v>
      </c>
      <c r="K7" s="539">
        <f>+S8</f>
        <v>132960000.00000001</v>
      </c>
      <c r="L7" s="539"/>
      <c r="M7" s="539"/>
      <c r="N7" s="539"/>
      <c r="O7" s="539"/>
      <c r="P7" s="247" t="s">
        <v>308</v>
      </c>
      <c r="S7" s="244">
        <f>+'ajustes 2022'!E6</f>
        <v>120000000</v>
      </c>
    </row>
    <row r="8" spans="3:19" ht="27" customHeight="1">
      <c r="C8" s="540" t="s">
        <v>517</v>
      </c>
      <c r="D8" s="541"/>
      <c r="E8" s="541"/>
      <c r="F8" s="541"/>
      <c r="G8" s="541"/>
      <c r="H8" s="541"/>
      <c r="I8" s="541"/>
      <c r="J8" s="238">
        <v>894</v>
      </c>
      <c r="K8" s="539"/>
      <c r="L8" s="539"/>
      <c r="M8" s="539"/>
      <c r="N8" s="539"/>
      <c r="O8" s="539"/>
      <c r="P8" s="246" t="s">
        <v>309</v>
      </c>
      <c r="S8" s="244">
        <f>+S7*1.108</f>
        <v>132960000.00000001</v>
      </c>
    </row>
    <row r="9" spans="3:19" ht="27" customHeight="1">
      <c r="C9" s="325" t="s">
        <v>518</v>
      </c>
      <c r="D9" s="326"/>
      <c r="E9" s="326"/>
      <c r="F9" s="326"/>
      <c r="G9" s="326"/>
      <c r="H9" s="326"/>
      <c r="I9" s="326"/>
      <c r="J9" s="237">
        <v>1694</v>
      </c>
      <c r="K9" s="539">
        <f>+'RLI AT 2023 FINAL '!E93</f>
        <v>362366615.38461542</v>
      </c>
      <c r="L9" s="539"/>
      <c r="M9" s="539"/>
      <c r="N9" s="539"/>
      <c r="O9" s="539"/>
      <c r="P9" s="247" t="s">
        <v>308</v>
      </c>
      <c r="S9" s="244">
        <f>+S8-S7</f>
        <v>12960000.000000015</v>
      </c>
    </row>
    <row r="10" spans="3:19" ht="27" customHeight="1">
      <c r="C10" s="325" t="s">
        <v>312</v>
      </c>
      <c r="D10" s="326"/>
      <c r="E10" s="326"/>
      <c r="F10" s="326"/>
      <c r="G10" s="326"/>
      <c r="H10" s="326"/>
      <c r="I10" s="326"/>
      <c r="J10" s="237">
        <v>1695</v>
      </c>
      <c r="K10" s="539"/>
      <c r="L10" s="539"/>
      <c r="M10" s="539"/>
      <c r="N10" s="539"/>
      <c r="O10" s="539"/>
      <c r="P10" s="246" t="s">
        <v>309</v>
      </c>
    </row>
    <row r="11" spans="3:19" ht="27" customHeight="1">
      <c r="C11" s="325" t="s">
        <v>519</v>
      </c>
      <c r="D11" s="326"/>
      <c r="E11" s="326"/>
      <c r="F11" s="326"/>
      <c r="G11" s="326"/>
      <c r="H11" s="326"/>
      <c r="I11" s="326"/>
      <c r="J11" s="237">
        <v>1696</v>
      </c>
      <c r="K11" s="539">
        <f>+'[13]RLI AT 2022'!D59</f>
        <v>0</v>
      </c>
      <c r="L11" s="539"/>
      <c r="M11" s="539"/>
      <c r="N11" s="539"/>
      <c r="O11" s="539"/>
      <c r="P11" s="247" t="s">
        <v>308</v>
      </c>
    </row>
    <row r="12" spans="3:19" ht="27" customHeight="1">
      <c r="C12" s="325" t="s">
        <v>315</v>
      </c>
      <c r="D12" s="326"/>
      <c r="E12" s="326"/>
      <c r="F12" s="326"/>
      <c r="G12" s="326"/>
      <c r="H12" s="326"/>
      <c r="I12" s="326"/>
      <c r="J12" s="237">
        <v>1178</v>
      </c>
      <c r="K12" s="539">
        <f>+'[13]RLI AT 2022'!D58</f>
        <v>0</v>
      </c>
      <c r="L12" s="539"/>
      <c r="M12" s="539"/>
      <c r="N12" s="539"/>
      <c r="O12" s="539"/>
      <c r="P12" s="247" t="s">
        <v>308</v>
      </c>
    </row>
    <row r="13" spans="3:19" ht="27" customHeight="1">
      <c r="C13" s="325" t="s">
        <v>316</v>
      </c>
      <c r="D13" s="326"/>
      <c r="E13" s="326"/>
      <c r="F13" s="326"/>
      <c r="G13" s="326"/>
      <c r="H13" s="326"/>
      <c r="I13" s="326"/>
      <c r="J13" s="237">
        <v>1179</v>
      </c>
      <c r="K13" s="539"/>
      <c r="L13" s="539"/>
      <c r="M13" s="539"/>
      <c r="N13" s="539"/>
      <c r="O13" s="539"/>
      <c r="P13" s="246" t="s">
        <v>309</v>
      </c>
    </row>
    <row r="14" spans="3:19" ht="27" customHeight="1">
      <c r="C14" s="325" t="s">
        <v>317</v>
      </c>
      <c r="D14" s="326"/>
      <c r="E14" s="326"/>
      <c r="F14" s="326"/>
      <c r="G14" s="326"/>
      <c r="H14" s="326"/>
      <c r="I14" s="326"/>
      <c r="J14" s="237">
        <v>1180</v>
      </c>
      <c r="K14" s="539"/>
      <c r="L14" s="539"/>
      <c r="M14" s="539"/>
      <c r="N14" s="539"/>
      <c r="O14" s="539"/>
      <c r="P14" s="247" t="s">
        <v>308</v>
      </c>
    </row>
    <row r="15" spans="3:19" ht="27" customHeight="1">
      <c r="C15" s="540" t="s">
        <v>318</v>
      </c>
      <c r="D15" s="541"/>
      <c r="E15" s="541"/>
      <c r="F15" s="541"/>
      <c r="G15" s="541"/>
      <c r="H15" s="541"/>
      <c r="I15" s="541"/>
      <c r="J15" s="238">
        <v>1181</v>
      </c>
      <c r="K15" s="539"/>
      <c r="L15" s="539"/>
      <c r="M15" s="539"/>
      <c r="N15" s="539"/>
      <c r="O15" s="539"/>
      <c r="P15" s="246" t="s">
        <v>309</v>
      </c>
    </row>
    <row r="16" spans="3:19" ht="27" customHeight="1">
      <c r="C16" s="325" t="s">
        <v>520</v>
      </c>
      <c r="D16" s="326"/>
      <c r="E16" s="326"/>
      <c r="F16" s="326"/>
      <c r="G16" s="326"/>
      <c r="H16" s="326"/>
      <c r="I16" s="326"/>
      <c r="J16" s="237">
        <v>1182</v>
      </c>
      <c r="K16" s="539">
        <f>+'RLI AT 2023'!D68</f>
        <v>106000000</v>
      </c>
      <c r="L16" s="539"/>
      <c r="M16" s="539"/>
      <c r="N16" s="539"/>
      <c r="O16" s="539"/>
      <c r="P16" s="246" t="s">
        <v>309</v>
      </c>
    </row>
    <row r="17" spans="3:19" ht="27" customHeight="1">
      <c r="C17" s="540" t="s">
        <v>521</v>
      </c>
      <c r="D17" s="541"/>
      <c r="E17" s="541"/>
      <c r="F17" s="541"/>
      <c r="G17" s="541"/>
      <c r="H17" s="541"/>
      <c r="I17" s="541"/>
      <c r="J17" s="238">
        <v>1697</v>
      </c>
      <c r="K17" s="539">
        <f>+'RLI AT 2023'!D17</f>
        <v>2800000</v>
      </c>
      <c r="L17" s="539"/>
      <c r="M17" s="539"/>
      <c r="N17" s="539"/>
      <c r="O17" s="539"/>
      <c r="P17" s="246" t="s">
        <v>309</v>
      </c>
    </row>
    <row r="18" spans="3:19" ht="27" customHeight="1">
      <c r="C18" s="540" t="s">
        <v>522</v>
      </c>
      <c r="D18" s="541"/>
      <c r="E18" s="541"/>
      <c r="F18" s="541"/>
      <c r="G18" s="541"/>
      <c r="H18" s="541"/>
      <c r="I18" s="541"/>
      <c r="J18" s="238">
        <v>1186</v>
      </c>
      <c r="K18" s="539"/>
      <c r="L18" s="539"/>
      <c r="M18" s="539"/>
      <c r="N18" s="539"/>
      <c r="O18" s="539"/>
      <c r="P18" s="542" t="s">
        <v>308</v>
      </c>
    </row>
    <row r="19" spans="3:19" ht="27" customHeight="1">
      <c r="C19" s="325" t="s">
        <v>523</v>
      </c>
      <c r="D19" s="326"/>
      <c r="E19" s="326"/>
      <c r="F19" s="326"/>
      <c r="G19" s="326"/>
      <c r="H19" s="326"/>
      <c r="I19" s="326"/>
      <c r="J19" s="237">
        <v>1187</v>
      </c>
      <c r="K19" s="539"/>
      <c r="L19" s="539"/>
      <c r="M19" s="539"/>
      <c r="N19" s="539"/>
      <c r="O19" s="539"/>
      <c r="P19" s="246" t="s">
        <v>309</v>
      </c>
    </row>
    <row r="20" spans="3:19" ht="27" customHeight="1">
      <c r="C20" s="540" t="s">
        <v>420</v>
      </c>
      <c r="D20" s="541"/>
      <c r="E20" s="541"/>
      <c r="F20" s="541"/>
      <c r="G20" s="541"/>
      <c r="H20" s="541"/>
      <c r="I20" s="541"/>
      <c r="J20" s="238">
        <v>1700</v>
      </c>
      <c r="K20" s="539"/>
      <c r="L20" s="539"/>
      <c r="M20" s="539"/>
      <c r="N20" s="539"/>
      <c r="O20" s="539"/>
      <c r="P20" s="246" t="s">
        <v>309</v>
      </c>
    </row>
    <row r="21" spans="3:19" ht="27" customHeight="1">
      <c r="C21" s="540" t="s">
        <v>319</v>
      </c>
      <c r="D21" s="541"/>
      <c r="E21" s="541"/>
      <c r="F21" s="541"/>
      <c r="G21" s="541"/>
      <c r="H21" s="541"/>
      <c r="I21" s="541"/>
      <c r="J21" s="238">
        <v>1188</v>
      </c>
      <c r="K21" s="539"/>
      <c r="L21" s="539"/>
      <c r="M21" s="539"/>
      <c r="N21" s="539"/>
      <c r="O21" s="539"/>
      <c r="P21" s="246" t="s">
        <v>309</v>
      </c>
    </row>
    <row r="22" spans="3:19" ht="27" customHeight="1">
      <c r="C22" s="540" t="s">
        <v>311</v>
      </c>
      <c r="D22" s="541"/>
      <c r="E22" s="541"/>
      <c r="F22" s="541"/>
      <c r="G22" s="541"/>
      <c r="H22" s="541"/>
      <c r="I22" s="541"/>
      <c r="J22" s="238">
        <v>1701</v>
      </c>
      <c r="K22" s="539">
        <f>+'RLI AT 2023'!D71</f>
        <v>253566615.38461542</v>
      </c>
      <c r="L22" s="539"/>
      <c r="M22" s="539"/>
      <c r="N22" s="539"/>
      <c r="O22" s="539"/>
      <c r="P22" s="542" t="s">
        <v>308</v>
      </c>
    </row>
    <row r="23" spans="3:19" ht="27" customHeight="1">
      <c r="C23" s="540" t="s">
        <v>524</v>
      </c>
      <c r="D23" s="541"/>
      <c r="E23" s="541"/>
      <c r="F23" s="541"/>
      <c r="G23" s="541"/>
      <c r="H23" s="541"/>
      <c r="I23" s="541"/>
      <c r="J23" s="238">
        <v>1702</v>
      </c>
      <c r="K23" s="539">
        <f>+'[13]RLI AT 2022'!E69</f>
        <v>0</v>
      </c>
      <c r="L23" s="539"/>
      <c r="M23" s="539"/>
      <c r="N23" s="539"/>
      <c r="O23" s="539"/>
      <c r="P23" s="542" t="s">
        <v>308</v>
      </c>
    </row>
    <row r="24" spans="3:19" ht="27" customHeight="1">
      <c r="C24" s="540" t="s">
        <v>320</v>
      </c>
      <c r="D24" s="541"/>
      <c r="E24" s="541"/>
      <c r="F24" s="541"/>
      <c r="G24" s="541"/>
      <c r="H24" s="541"/>
      <c r="I24" s="541"/>
      <c r="J24" s="238">
        <v>1189</v>
      </c>
      <c r="K24" s="539"/>
      <c r="L24" s="539"/>
      <c r="M24" s="539"/>
      <c r="N24" s="539"/>
      <c r="O24" s="539"/>
      <c r="P24" s="542" t="s">
        <v>308</v>
      </c>
    </row>
    <row r="25" spans="3:19" ht="27" customHeight="1" thickBot="1">
      <c r="C25" s="543" t="s">
        <v>321</v>
      </c>
      <c r="D25" s="544"/>
      <c r="E25" s="544"/>
      <c r="F25" s="544"/>
      <c r="G25" s="544"/>
      <c r="H25" s="544"/>
      <c r="I25" s="544"/>
      <c r="J25" s="248">
        <v>1190</v>
      </c>
      <c r="K25" s="539"/>
      <c r="L25" s="539"/>
      <c r="M25" s="539"/>
      <c r="N25" s="539"/>
      <c r="O25" s="539"/>
      <c r="P25" s="249" t="s">
        <v>309</v>
      </c>
    </row>
    <row r="26" spans="3:19" ht="27" customHeight="1" thickBot="1">
      <c r="C26" s="327" t="s">
        <v>525</v>
      </c>
      <c r="D26" s="328"/>
      <c r="E26" s="328"/>
      <c r="F26" s="328"/>
      <c r="G26" s="328"/>
      <c r="H26" s="328"/>
      <c r="I26" s="328"/>
      <c r="J26" s="239">
        <v>645</v>
      </c>
      <c r="K26" s="545">
        <f>+K4-K5+K6+K7-K8+K9-K10+K11+K12-K13+K14-K15-K16-K17+K18-K19-K20-K21+K22+K23+K24-K25</f>
        <v>640093230.76923084</v>
      </c>
      <c r="L26" s="545"/>
      <c r="M26" s="545"/>
      <c r="N26" s="545"/>
      <c r="O26" s="545"/>
      <c r="P26" s="250" t="s">
        <v>307</v>
      </c>
      <c r="R26" s="546">
        <f>+K26</f>
        <v>640093230.76923084</v>
      </c>
      <c r="S26" s="546"/>
    </row>
    <row r="27" spans="3:19" ht="27" customHeight="1" thickBot="1">
      <c r="C27" s="327" t="s">
        <v>526</v>
      </c>
      <c r="D27" s="328"/>
      <c r="E27" s="328"/>
      <c r="F27" s="328"/>
      <c r="G27" s="328"/>
      <c r="H27" s="328"/>
      <c r="I27" s="328"/>
      <c r="J27" s="239">
        <v>646</v>
      </c>
      <c r="K27" s="545"/>
      <c r="L27" s="545"/>
      <c r="M27" s="545"/>
      <c r="N27" s="545"/>
      <c r="O27" s="545"/>
      <c r="P27" s="250" t="s">
        <v>307</v>
      </c>
    </row>
  </sheetData>
  <mergeCells count="49">
    <mergeCell ref="C25:I25"/>
    <mergeCell ref="K25:O25"/>
    <mergeCell ref="C26:I26"/>
    <mergeCell ref="K26:O26"/>
    <mergeCell ref="C27:I27"/>
    <mergeCell ref="K27:O27"/>
    <mergeCell ref="C22:I22"/>
    <mergeCell ref="K22:O22"/>
    <mergeCell ref="C23:I23"/>
    <mergeCell ref="K23:O23"/>
    <mergeCell ref="C24:I24"/>
    <mergeCell ref="K24:O24"/>
    <mergeCell ref="C19:I19"/>
    <mergeCell ref="K19:O19"/>
    <mergeCell ref="C20:I20"/>
    <mergeCell ref="K20:O20"/>
    <mergeCell ref="C21:I21"/>
    <mergeCell ref="K21:O21"/>
    <mergeCell ref="C16:I16"/>
    <mergeCell ref="K16:O16"/>
    <mergeCell ref="C17:I17"/>
    <mergeCell ref="K17:O17"/>
    <mergeCell ref="C18:I18"/>
    <mergeCell ref="K18:O18"/>
    <mergeCell ref="C13:I13"/>
    <mergeCell ref="K13:O13"/>
    <mergeCell ref="C14:I14"/>
    <mergeCell ref="K14:O14"/>
    <mergeCell ref="C15:I15"/>
    <mergeCell ref="K15:O15"/>
    <mergeCell ref="C10:I10"/>
    <mergeCell ref="K10:O10"/>
    <mergeCell ref="C11:I11"/>
    <mergeCell ref="K11:O11"/>
    <mergeCell ref="C12:I12"/>
    <mergeCell ref="K12:O12"/>
    <mergeCell ref="C7:I7"/>
    <mergeCell ref="K7:O7"/>
    <mergeCell ref="C8:I8"/>
    <mergeCell ref="K8:O8"/>
    <mergeCell ref="C9:I9"/>
    <mergeCell ref="K9:O9"/>
    <mergeCell ref="C2:P3"/>
    <mergeCell ref="C4:I4"/>
    <mergeCell ref="K4:O4"/>
    <mergeCell ref="C5:I5"/>
    <mergeCell ref="K5:O5"/>
    <mergeCell ref="C6:I6"/>
    <mergeCell ref="K6:O6"/>
  </mergeCells>
  <hyperlinks>
    <hyperlink ref="C2:P3" location="'Indice F22'!A1" display="RECUADRO Nº 14:  RAZONABILIDAD CAPITAL PROPIO TRIBUTARIO"/>
  </hyperlinks>
  <pageMargins left="0.70866141732283472" right="0.70866141732283472" top="0.74803149606299213" bottom="0.74803149606299213" header="0.31496062992125984" footer="0.31496062992125984"/>
  <pageSetup scale="5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6"/>
  <sheetViews>
    <sheetView topLeftCell="A13" zoomScale="106" zoomScaleNormal="106" workbookViewId="0">
      <selection activeCell="O52" sqref="O52"/>
    </sheetView>
  </sheetViews>
  <sheetFormatPr baseColWidth="10" defaultRowHeight="15.75"/>
  <cols>
    <col min="3" max="4" width="11.42578125" customWidth="1"/>
    <col min="5" max="5" width="40.5703125" customWidth="1"/>
    <col min="6" max="7" width="15.5703125" bestFit="1" customWidth="1"/>
    <col min="8" max="8" width="13.85546875" bestFit="1" customWidth="1"/>
    <col min="9" max="9" width="15.5703125" bestFit="1" customWidth="1"/>
    <col min="10" max="10" width="13.85546875" style="527" bestFit="1" customWidth="1"/>
    <col min="11" max="11" width="17" style="527" bestFit="1" customWidth="1"/>
    <col min="12" max="12" width="15.28515625" bestFit="1" customWidth="1"/>
    <col min="13" max="13" width="15.5703125" bestFit="1" customWidth="1"/>
    <col min="14" max="14" width="11.42578125" style="528"/>
    <col min="15" max="15" width="17" style="529" bestFit="1" customWidth="1"/>
    <col min="271" max="271" width="17" bestFit="1" customWidth="1"/>
    <col min="527" max="527" width="17" bestFit="1" customWidth="1"/>
    <col min="783" max="783" width="17" bestFit="1" customWidth="1"/>
    <col min="1039" max="1039" width="17" bestFit="1" customWidth="1"/>
    <col min="1295" max="1295" width="17" bestFit="1" customWidth="1"/>
    <col min="1551" max="1551" width="17" bestFit="1" customWidth="1"/>
    <col min="1807" max="1807" width="17" bestFit="1" customWidth="1"/>
    <col min="2063" max="2063" width="17" bestFit="1" customWidth="1"/>
    <col min="2319" max="2319" width="17" bestFit="1" customWidth="1"/>
    <col min="2575" max="2575" width="17" bestFit="1" customWidth="1"/>
    <col min="2831" max="2831" width="17" bestFit="1" customWidth="1"/>
    <col min="3087" max="3087" width="17" bestFit="1" customWidth="1"/>
    <col min="3343" max="3343" width="17" bestFit="1" customWidth="1"/>
    <col min="3599" max="3599" width="17" bestFit="1" customWidth="1"/>
    <col min="3855" max="3855" width="17" bestFit="1" customWidth="1"/>
    <col min="4111" max="4111" width="17" bestFit="1" customWidth="1"/>
    <col min="4367" max="4367" width="17" bestFit="1" customWidth="1"/>
    <col min="4623" max="4623" width="17" bestFit="1" customWidth="1"/>
    <col min="4879" max="4879" width="17" bestFit="1" customWidth="1"/>
    <col min="5135" max="5135" width="17" bestFit="1" customWidth="1"/>
    <col min="5391" max="5391" width="17" bestFit="1" customWidth="1"/>
    <col min="5647" max="5647" width="17" bestFit="1" customWidth="1"/>
    <col min="5903" max="5903" width="17" bestFit="1" customWidth="1"/>
    <col min="6159" max="6159" width="17" bestFit="1" customWidth="1"/>
    <col min="6415" max="6415" width="17" bestFit="1" customWidth="1"/>
    <col min="6671" max="6671" width="17" bestFit="1" customWidth="1"/>
    <col min="6927" max="6927" width="17" bestFit="1" customWidth="1"/>
    <col min="7183" max="7183" width="17" bestFit="1" customWidth="1"/>
    <col min="7439" max="7439" width="17" bestFit="1" customWidth="1"/>
    <col min="7695" max="7695" width="17" bestFit="1" customWidth="1"/>
    <col min="7951" max="7951" width="17" bestFit="1" customWidth="1"/>
    <col min="8207" max="8207" width="17" bestFit="1" customWidth="1"/>
    <col min="8463" max="8463" width="17" bestFit="1" customWidth="1"/>
    <col min="8719" max="8719" width="17" bestFit="1" customWidth="1"/>
    <col min="8975" max="8975" width="17" bestFit="1" customWidth="1"/>
    <col min="9231" max="9231" width="17" bestFit="1" customWidth="1"/>
    <col min="9487" max="9487" width="17" bestFit="1" customWidth="1"/>
    <col min="9743" max="9743" width="17" bestFit="1" customWidth="1"/>
    <col min="9999" max="9999" width="17" bestFit="1" customWidth="1"/>
    <col min="10255" max="10255" width="17" bestFit="1" customWidth="1"/>
    <col min="10511" max="10511" width="17" bestFit="1" customWidth="1"/>
    <col min="10767" max="10767" width="17" bestFit="1" customWidth="1"/>
    <col min="11023" max="11023" width="17" bestFit="1" customWidth="1"/>
    <col min="11279" max="11279" width="17" bestFit="1" customWidth="1"/>
    <col min="11535" max="11535" width="17" bestFit="1" customWidth="1"/>
    <col min="11791" max="11791" width="17" bestFit="1" customWidth="1"/>
    <col min="12047" max="12047" width="17" bestFit="1" customWidth="1"/>
    <col min="12303" max="12303" width="17" bestFit="1" customWidth="1"/>
    <col min="12559" max="12559" width="17" bestFit="1" customWidth="1"/>
    <col min="12815" max="12815" width="17" bestFit="1" customWidth="1"/>
    <col min="13071" max="13071" width="17" bestFit="1" customWidth="1"/>
    <col min="13327" max="13327" width="17" bestFit="1" customWidth="1"/>
    <col min="13583" max="13583" width="17" bestFit="1" customWidth="1"/>
    <col min="13839" max="13839" width="17" bestFit="1" customWidth="1"/>
    <col min="14095" max="14095" width="17" bestFit="1" customWidth="1"/>
    <col min="14351" max="14351" width="17" bestFit="1" customWidth="1"/>
    <col min="14607" max="14607" width="17" bestFit="1" customWidth="1"/>
    <col min="14863" max="14863" width="17" bestFit="1" customWidth="1"/>
    <col min="15119" max="15119" width="17" bestFit="1" customWidth="1"/>
    <col min="15375" max="15375" width="17" bestFit="1" customWidth="1"/>
    <col min="15631" max="15631" width="17" bestFit="1" customWidth="1"/>
    <col min="15887" max="15887" width="17" bestFit="1" customWidth="1"/>
    <col min="16143" max="16143" width="17" bestFit="1" customWidth="1"/>
  </cols>
  <sheetData>
    <row r="1" spans="1:16">
      <c r="A1" s="421"/>
      <c r="B1" s="421"/>
      <c r="C1" s="421"/>
      <c r="D1" s="421"/>
      <c r="E1" s="421"/>
      <c r="F1" s="421"/>
      <c r="G1" s="421"/>
      <c r="H1" s="421"/>
      <c r="I1" s="421"/>
      <c r="J1" s="422"/>
      <c r="K1" s="422"/>
      <c r="L1" s="421"/>
      <c r="M1" s="421"/>
      <c r="N1" s="423"/>
      <c r="O1" s="424"/>
      <c r="P1" s="421"/>
    </row>
    <row r="2" spans="1:16">
      <c r="A2" s="421"/>
      <c r="B2" s="421"/>
      <c r="C2" s="421"/>
      <c r="D2" s="421"/>
      <c r="E2" s="421"/>
      <c r="F2" s="421"/>
      <c r="G2" s="421"/>
      <c r="H2" s="421"/>
      <c r="I2" s="421"/>
      <c r="J2" s="422"/>
      <c r="K2" s="422"/>
      <c r="L2" s="421"/>
      <c r="M2" s="421"/>
      <c r="N2" s="423"/>
      <c r="O2" s="424"/>
      <c r="P2" s="421"/>
    </row>
    <row r="3" spans="1:16">
      <c r="A3" s="421"/>
      <c r="B3" s="421"/>
      <c r="C3" s="421"/>
      <c r="D3" s="421"/>
      <c r="E3" s="421"/>
      <c r="F3" s="421"/>
      <c r="G3" s="421"/>
      <c r="H3" s="421"/>
      <c r="I3" s="421"/>
      <c r="J3" s="422"/>
      <c r="K3" s="422"/>
      <c r="L3" s="421"/>
      <c r="M3" s="421"/>
      <c r="N3" s="423"/>
      <c r="O3" s="424"/>
      <c r="P3" s="421"/>
    </row>
    <row r="4" spans="1:16">
      <c r="A4" s="421"/>
      <c r="B4" s="421"/>
      <c r="C4" s="421"/>
      <c r="D4" s="421"/>
      <c r="E4" s="421"/>
      <c r="F4" s="421"/>
      <c r="G4" s="421"/>
      <c r="H4" s="421"/>
      <c r="I4" s="421"/>
      <c r="J4" s="425"/>
      <c r="K4" s="425"/>
      <c r="L4" s="421"/>
      <c r="M4" s="421"/>
      <c r="N4" s="423"/>
      <c r="O4" s="424"/>
      <c r="P4" s="421"/>
    </row>
    <row r="5" spans="1:16">
      <c r="A5" s="421"/>
      <c r="B5" s="426"/>
      <c r="C5" s="421"/>
      <c r="D5" s="421"/>
      <c r="E5" s="421"/>
      <c r="F5" s="421"/>
      <c r="G5" s="421"/>
      <c r="H5" s="421"/>
      <c r="I5" s="421"/>
      <c r="J5" s="425"/>
      <c r="K5" s="425"/>
      <c r="L5" s="421"/>
      <c r="M5" s="421"/>
      <c r="N5" s="423"/>
      <c r="O5" s="424"/>
      <c r="P5" s="421"/>
    </row>
    <row r="6" spans="1:16">
      <c r="A6" s="421"/>
      <c r="B6" s="427" t="s">
        <v>473</v>
      </c>
      <c r="C6" s="428"/>
      <c r="D6" s="429"/>
      <c r="E6" s="428"/>
      <c r="F6" s="428"/>
      <c r="G6" s="428"/>
      <c r="H6" s="428"/>
      <c r="I6" s="425"/>
      <c r="J6" s="425"/>
      <c r="K6" s="425"/>
      <c r="L6" s="421"/>
      <c r="M6" s="421"/>
      <c r="N6" s="423"/>
      <c r="O6" s="424"/>
      <c r="P6" s="421"/>
    </row>
    <row r="7" spans="1:16">
      <c r="A7" s="421"/>
      <c r="B7" s="427"/>
      <c r="C7" s="428"/>
      <c r="D7" s="429"/>
      <c r="E7" s="428"/>
      <c r="F7" s="428"/>
      <c r="G7" s="428"/>
      <c r="H7" s="428"/>
      <c r="I7" s="425"/>
      <c r="J7" s="425"/>
      <c r="K7" s="425"/>
      <c r="L7" s="421"/>
      <c r="M7" s="421"/>
      <c r="N7" s="423"/>
      <c r="O7" s="424"/>
      <c r="P7" s="421"/>
    </row>
    <row r="8" spans="1:16">
      <c r="A8" s="421"/>
      <c r="B8" s="430" t="s">
        <v>474</v>
      </c>
      <c r="C8" s="431"/>
      <c r="D8" s="431"/>
      <c r="E8" s="431" t="s">
        <v>475</v>
      </c>
      <c r="F8" s="431"/>
      <c r="G8" s="431"/>
      <c r="H8" s="431"/>
      <c r="I8" s="432"/>
      <c r="J8" s="433"/>
      <c r="K8" s="433"/>
      <c r="L8" s="434"/>
      <c r="M8" s="435"/>
      <c r="N8" s="436"/>
      <c r="O8" s="424"/>
      <c r="P8" s="421"/>
    </row>
    <row r="9" spans="1:16">
      <c r="A9" s="421"/>
      <c r="B9" s="437"/>
      <c r="C9" s="437"/>
      <c r="D9" s="438"/>
      <c r="E9" s="439" t="s">
        <v>476</v>
      </c>
      <c r="F9" s="439"/>
      <c r="G9" s="439"/>
      <c r="H9" s="439"/>
      <c r="I9" s="440"/>
      <c r="J9" s="433"/>
      <c r="K9" s="433"/>
      <c r="L9" s="434"/>
      <c r="M9" s="435"/>
      <c r="N9" s="436"/>
      <c r="O9" s="424"/>
      <c r="P9" s="421"/>
    </row>
    <row r="10" spans="1:16">
      <c r="A10" s="421"/>
      <c r="B10" s="437" t="s">
        <v>477</v>
      </c>
      <c r="C10" s="437"/>
      <c r="D10" s="437"/>
      <c r="E10" s="437"/>
      <c r="F10" s="437"/>
      <c r="G10" s="438"/>
      <c r="H10" s="440" t="s">
        <v>478</v>
      </c>
      <c r="I10" s="438"/>
      <c r="J10" s="425"/>
      <c r="K10" s="425"/>
      <c r="L10" s="421"/>
      <c r="M10" s="441"/>
      <c r="N10" s="436"/>
      <c r="O10" s="424"/>
      <c r="P10" s="421"/>
    </row>
    <row r="11" spans="1:16">
      <c r="A11" s="421"/>
      <c r="B11" s="438"/>
      <c r="C11" s="439"/>
      <c r="D11" s="439"/>
      <c r="E11" s="439"/>
      <c r="F11" s="440"/>
      <c r="G11" s="442"/>
      <c r="H11" s="440"/>
      <c r="I11" s="438"/>
      <c r="J11" s="425"/>
      <c r="K11" s="425"/>
      <c r="L11" s="421"/>
      <c r="M11" s="421"/>
      <c r="N11" s="423"/>
      <c r="O11" s="424"/>
      <c r="P11" s="421"/>
    </row>
    <row r="12" spans="1:16">
      <c r="A12" s="421"/>
      <c r="B12" s="437" t="s">
        <v>479</v>
      </c>
      <c r="C12" s="437"/>
      <c r="D12" s="437"/>
      <c r="E12" s="437"/>
      <c r="F12" s="437"/>
      <c r="G12" s="438"/>
      <c r="H12" s="443" t="s">
        <v>480</v>
      </c>
      <c r="I12" s="444" t="s">
        <v>481</v>
      </c>
      <c r="J12" s="445"/>
      <c r="K12" s="446"/>
      <c r="L12" s="447"/>
      <c r="M12" s="421"/>
      <c r="N12" s="423"/>
      <c r="O12" s="424"/>
      <c r="P12" s="421"/>
    </row>
    <row r="13" spans="1:16">
      <c r="A13" s="421"/>
      <c r="B13" s="448"/>
      <c r="C13" s="449"/>
      <c r="D13" s="449"/>
      <c r="E13" s="449"/>
      <c r="F13" s="450"/>
      <c r="G13" s="451"/>
      <c r="H13" s="444"/>
      <c r="I13" s="452"/>
      <c r="J13" s="445"/>
      <c r="K13" s="446"/>
      <c r="L13" s="447"/>
      <c r="M13" s="421"/>
      <c r="N13" s="423"/>
      <c r="O13" s="424"/>
      <c r="P13" s="421"/>
    </row>
    <row r="14" spans="1:16">
      <c r="A14" s="421"/>
      <c r="B14" s="428"/>
      <c r="C14" s="428"/>
      <c r="D14" s="428"/>
      <c r="E14" s="428"/>
      <c r="F14" s="428"/>
      <c r="G14" s="453"/>
      <c r="H14" s="425"/>
      <c r="I14" s="425"/>
      <c r="J14" s="425"/>
      <c r="K14" s="425"/>
      <c r="L14" s="421"/>
      <c r="M14" s="421"/>
      <c r="N14" s="423"/>
      <c r="O14" s="424"/>
      <c r="P14" s="421"/>
    </row>
    <row r="15" spans="1:16">
      <c r="A15" s="421"/>
      <c r="B15" s="427" t="s">
        <v>482</v>
      </c>
      <c r="C15" s="428"/>
      <c r="D15" s="429"/>
      <c r="E15" s="428"/>
      <c r="F15" s="428"/>
      <c r="G15" s="428"/>
      <c r="H15" s="428"/>
      <c r="I15" s="425"/>
      <c r="J15" s="425"/>
      <c r="K15" s="425"/>
      <c r="L15" s="421"/>
      <c r="M15" s="421"/>
      <c r="N15" s="423"/>
      <c r="O15" s="424"/>
      <c r="P15" s="421"/>
    </row>
    <row r="16" spans="1:16" ht="16.5" thickBot="1">
      <c r="A16" s="421"/>
      <c r="B16" s="428"/>
      <c r="C16" s="428"/>
      <c r="D16" s="429"/>
      <c r="E16" s="428"/>
      <c r="F16" s="428"/>
      <c r="G16" s="428"/>
      <c r="H16" s="428"/>
      <c r="I16" s="425"/>
      <c r="J16" s="425"/>
      <c r="K16" s="425"/>
      <c r="L16" s="421"/>
      <c r="M16" s="421"/>
      <c r="N16" s="423"/>
      <c r="O16" s="424"/>
      <c r="P16" s="421"/>
    </row>
    <row r="17" spans="1:16">
      <c r="A17" s="421"/>
      <c r="B17" s="454" t="s">
        <v>483</v>
      </c>
      <c r="C17" s="455"/>
      <c r="D17" s="455"/>
      <c r="E17" s="455" t="s">
        <v>484</v>
      </c>
      <c r="F17" s="455"/>
      <c r="G17" s="455" t="s">
        <v>485</v>
      </c>
      <c r="H17" s="455"/>
      <c r="I17" s="456" t="s">
        <v>486</v>
      </c>
      <c r="J17" s="457"/>
      <c r="K17" s="425"/>
      <c r="L17" s="421"/>
      <c r="M17" s="421"/>
      <c r="N17" s="423"/>
      <c r="O17" s="424"/>
      <c r="P17" s="421"/>
    </row>
    <row r="18" spans="1:16">
      <c r="A18" s="421"/>
      <c r="B18" s="458"/>
      <c r="C18" s="459"/>
      <c r="D18" s="459"/>
      <c r="E18" s="459"/>
      <c r="F18" s="459"/>
      <c r="G18" s="459"/>
      <c r="H18" s="459"/>
      <c r="I18" s="443" t="s">
        <v>487</v>
      </c>
      <c r="J18" s="460" t="s">
        <v>488</v>
      </c>
      <c r="K18" s="425"/>
      <c r="L18" s="421"/>
      <c r="M18" s="421"/>
      <c r="N18" s="423"/>
      <c r="O18" s="424"/>
      <c r="P18" s="421"/>
    </row>
    <row r="19" spans="1:16" ht="16.5" thickBot="1">
      <c r="A19" s="421"/>
      <c r="B19" s="461"/>
      <c r="C19" s="462"/>
      <c r="D19" s="462"/>
      <c r="E19" s="462"/>
      <c r="F19" s="462"/>
      <c r="G19" s="462"/>
      <c r="H19" s="462"/>
      <c r="I19" s="463"/>
      <c r="J19" s="464"/>
      <c r="K19" s="425"/>
      <c r="L19" s="421"/>
      <c r="M19" s="421"/>
      <c r="N19" s="423"/>
      <c r="O19" s="424"/>
      <c r="P19" s="421"/>
    </row>
    <row r="20" spans="1:16">
      <c r="A20" s="421"/>
      <c r="B20" s="428"/>
      <c r="C20" s="428"/>
      <c r="D20" s="429"/>
      <c r="E20" s="428"/>
      <c r="F20" s="428"/>
      <c r="G20" s="428"/>
      <c r="H20" s="428"/>
      <c r="I20" s="425"/>
      <c r="J20" s="425"/>
      <c r="K20" s="425"/>
      <c r="L20" s="421"/>
      <c r="M20" s="421"/>
      <c r="N20" s="423"/>
      <c r="O20" s="424"/>
      <c r="P20" s="421"/>
    </row>
    <row r="21" spans="1:16">
      <c r="A21" s="421"/>
      <c r="B21" s="453"/>
      <c r="C21" s="453"/>
      <c r="D21" s="453"/>
      <c r="E21" s="453"/>
      <c r="F21" s="453"/>
      <c r="G21" s="453"/>
      <c r="H21" s="425"/>
      <c r="I21" s="425"/>
      <c r="J21" s="425"/>
      <c r="K21" s="425"/>
      <c r="L21" s="421"/>
      <c r="M21" s="421"/>
      <c r="N21" s="423"/>
      <c r="O21" s="424"/>
      <c r="P21" s="421"/>
    </row>
    <row r="22" spans="1:16">
      <c r="A22" s="421"/>
      <c r="B22" s="425" t="s">
        <v>489</v>
      </c>
      <c r="C22" s="425"/>
      <c r="D22" s="425"/>
      <c r="E22" s="425"/>
      <c r="F22" s="425"/>
      <c r="G22" s="425"/>
      <c r="H22" s="425"/>
      <c r="I22" s="425"/>
      <c r="J22" s="425"/>
      <c r="K22" s="425"/>
      <c r="L22" s="421"/>
      <c r="M22" s="421"/>
      <c r="N22" s="423"/>
      <c r="O22" s="424"/>
      <c r="P22" s="421"/>
    </row>
    <row r="23" spans="1:16" ht="16.5" thickBot="1">
      <c r="A23" s="421"/>
      <c r="B23" s="465"/>
      <c r="C23" s="425"/>
      <c r="D23" s="425"/>
      <c r="E23" s="425"/>
      <c r="F23" s="425"/>
      <c r="G23" s="425"/>
      <c r="H23" s="425"/>
      <c r="I23" s="425"/>
      <c r="J23" s="425"/>
      <c r="K23" s="425"/>
      <c r="L23" s="421"/>
      <c r="M23" s="421"/>
      <c r="N23" s="423"/>
      <c r="O23" s="424"/>
      <c r="P23" s="421"/>
    </row>
    <row r="24" spans="1:16" ht="15">
      <c r="A24" s="421"/>
      <c r="B24" s="466" t="s">
        <v>490</v>
      </c>
      <c r="C24" s="466" t="s">
        <v>491</v>
      </c>
      <c r="D24" s="466" t="s">
        <v>492</v>
      </c>
      <c r="E24" s="466" t="s">
        <v>493</v>
      </c>
      <c r="F24" s="466" t="s">
        <v>322</v>
      </c>
      <c r="G24" s="466" t="s">
        <v>494</v>
      </c>
      <c r="H24" s="466" t="s">
        <v>495</v>
      </c>
      <c r="I24" s="466" t="s">
        <v>496</v>
      </c>
      <c r="J24" s="466" t="s">
        <v>9</v>
      </c>
      <c r="K24" s="466" t="s">
        <v>10</v>
      </c>
      <c r="L24" s="467" t="s">
        <v>323</v>
      </c>
      <c r="M24" s="467" t="s">
        <v>324</v>
      </c>
      <c r="N24" s="553" t="s">
        <v>497</v>
      </c>
      <c r="O24" s="468" t="s">
        <v>535</v>
      </c>
      <c r="P24" s="421"/>
    </row>
    <row r="25" spans="1:16" ht="24" customHeight="1">
      <c r="A25" s="421"/>
      <c r="B25" s="470"/>
      <c r="C25" s="470"/>
      <c r="D25" s="470"/>
      <c r="E25" s="470"/>
      <c r="F25" s="470"/>
      <c r="G25" s="470"/>
      <c r="H25" s="470"/>
      <c r="I25" s="470"/>
      <c r="J25" s="470"/>
      <c r="K25" s="470"/>
      <c r="L25" s="471"/>
      <c r="M25" s="471"/>
      <c r="N25" s="554"/>
      <c r="O25" s="472"/>
      <c r="P25" s="421"/>
    </row>
    <row r="26" spans="1:16" thickBot="1">
      <c r="A26" s="421"/>
      <c r="B26" s="474">
        <v>1</v>
      </c>
      <c r="C26" s="60" t="s">
        <v>75</v>
      </c>
      <c r="D26" s="475"/>
      <c r="E26" s="53" t="s">
        <v>80</v>
      </c>
      <c r="F26" s="47">
        <v>120400000</v>
      </c>
      <c r="G26" s="47">
        <v>62527200</v>
      </c>
      <c r="H26" s="47">
        <v>57872800</v>
      </c>
      <c r="I26" s="47">
        <v>0</v>
      </c>
      <c r="J26" s="47">
        <v>57872800</v>
      </c>
      <c r="K26" s="47">
        <v>0</v>
      </c>
      <c r="L26" s="47">
        <v>0</v>
      </c>
      <c r="M26" s="47">
        <v>0</v>
      </c>
      <c r="N26" s="555"/>
      <c r="O26" s="559">
        <f>+J26</f>
        <v>57872800</v>
      </c>
      <c r="P26" s="421"/>
    </row>
    <row r="27" spans="1:16" thickBot="1">
      <c r="A27" s="421"/>
      <c r="B27" s="474">
        <v>2</v>
      </c>
      <c r="C27" s="60" t="s">
        <v>45</v>
      </c>
      <c r="D27" s="475"/>
      <c r="E27" s="53" t="s">
        <v>46</v>
      </c>
      <c r="F27" s="47">
        <v>1190000000</v>
      </c>
      <c r="G27" s="47">
        <v>1170233000</v>
      </c>
      <c r="H27" s="47">
        <v>19767000</v>
      </c>
      <c r="I27" s="47">
        <v>0</v>
      </c>
      <c r="J27" s="47">
        <v>19767000</v>
      </c>
      <c r="K27" s="47">
        <v>0</v>
      </c>
      <c r="L27" s="47">
        <v>0</v>
      </c>
      <c r="M27" s="47">
        <v>0</v>
      </c>
      <c r="N27" s="555"/>
      <c r="O27" s="559">
        <f t="shared" ref="O27:O41" si="0">+J27</f>
        <v>19767000</v>
      </c>
      <c r="P27" s="421"/>
    </row>
    <row r="28" spans="1:16" thickBot="1">
      <c r="A28" s="421"/>
      <c r="B28" s="474">
        <v>3</v>
      </c>
      <c r="C28" s="60">
        <v>11011</v>
      </c>
      <c r="D28" s="482"/>
      <c r="E28" s="53" t="s">
        <v>48</v>
      </c>
      <c r="F28" s="47">
        <v>45000000</v>
      </c>
      <c r="G28" s="47">
        <v>0</v>
      </c>
      <c r="H28" s="47">
        <v>45000000</v>
      </c>
      <c r="I28" s="47">
        <v>0</v>
      </c>
      <c r="J28" s="47">
        <v>45000000</v>
      </c>
      <c r="K28" s="47">
        <v>0</v>
      </c>
      <c r="L28" s="47">
        <v>0</v>
      </c>
      <c r="M28" s="47">
        <v>0</v>
      </c>
      <c r="N28" s="556"/>
      <c r="O28" s="559">
        <f t="shared" si="0"/>
        <v>45000000</v>
      </c>
      <c r="P28" s="421"/>
    </row>
    <row r="29" spans="1:16" thickBot="1">
      <c r="A29" s="421"/>
      <c r="B29" s="474">
        <v>4</v>
      </c>
      <c r="C29" s="60">
        <v>11020</v>
      </c>
      <c r="D29" s="488"/>
      <c r="E29" s="53" t="s">
        <v>101</v>
      </c>
      <c r="F29" s="47">
        <v>125000000</v>
      </c>
      <c r="G29" s="47">
        <v>90000000</v>
      </c>
      <c r="H29" s="47">
        <v>35000000</v>
      </c>
      <c r="I29" s="47">
        <v>0</v>
      </c>
      <c r="J29" s="47">
        <v>35000000</v>
      </c>
      <c r="K29" s="47">
        <v>0</v>
      </c>
      <c r="L29" s="47">
        <v>0</v>
      </c>
      <c r="M29" s="47">
        <v>0</v>
      </c>
      <c r="N29" s="556"/>
      <c r="O29" s="559">
        <f t="shared" si="0"/>
        <v>35000000</v>
      </c>
      <c r="P29" s="421"/>
    </row>
    <row r="30" spans="1:16" thickBot="1">
      <c r="A30" s="421"/>
      <c r="B30" s="474">
        <v>5</v>
      </c>
      <c r="C30" s="60">
        <f>+C29+1</f>
        <v>11021</v>
      </c>
      <c r="D30" s="488"/>
      <c r="E30" s="53" t="s">
        <v>58</v>
      </c>
      <c r="F30" s="47">
        <v>0</v>
      </c>
      <c r="G30" s="47">
        <v>9000000</v>
      </c>
      <c r="H30" s="47">
        <v>0</v>
      </c>
      <c r="I30" s="47">
        <v>9000000</v>
      </c>
      <c r="J30" s="47">
        <v>0</v>
      </c>
      <c r="K30" s="47">
        <v>9000000</v>
      </c>
      <c r="L30" s="47">
        <v>0</v>
      </c>
      <c r="M30" s="47">
        <v>0</v>
      </c>
      <c r="N30" s="556"/>
      <c r="O30" s="559">
        <f t="shared" si="0"/>
        <v>0</v>
      </c>
      <c r="P30" s="421"/>
    </row>
    <row r="31" spans="1:16" thickBot="1">
      <c r="A31" s="421"/>
      <c r="B31" s="474">
        <v>6</v>
      </c>
      <c r="C31" s="60">
        <v>11051</v>
      </c>
      <c r="D31" s="488"/>
      <c r="E31" s="53" t="s">
        <v>49</v>
      </c>
      <c r="F31" s="47">
        <v>650000000</v>
      </c>
      <c r="G31" s="47">
        <v>300000000</v>
      </c>
      <c r="H31" s="47">
        <v>350000000</v>
      </c>
      <c r="I31" s="47">
        <v>0</v>
      </c>
      <c r="J31" s="47">
        <v>350000000</v>
      </c>
      <c r="K31" s="47">
        <v>0</v>
      </c>
      <c r="L31" s="47">
        <v>0</v>
      </c>
      <c r="M31" s="47">
        <v>0</v>
      </c>
      <c r="N31" s="556"/>
      <c r="O31" s="559">
        <f>+'costo existencias'!F11</f>
        <v>320000000</v>
      </c>
      <c r="P31" s="421"/>
    </row>
    <row r="32" spans="1:16" hidden="1" thickBot="1">
      <c r="A32" s="421"/>
      <c r="B32" s="474">
        <v>7</v>
      </c>
      <c r="C32" s="60">
        <v>11071</v>
      </c>
      <c r="D32" s="488"/>
      <c r="E32" s="53" t="s">
        <v>15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556"/>
      <c r="O32" s="559">
        <f t="shared" si="0"/>
        <v>0</v>
      </c>
      <c r="P32" s="421"/>
    </row>
    <row r="33" spans="1:16" thickBot="1">
      <c r="A33" s="421"/>
      <c r="B33" s="474">
        <v>8</v>
      </c>
      <c r="C33" s="60">
        <v>12001</v>
      </c>
      <c r="D33" s="488"/>
      <c r="E33" s="53" t="s">
        <v>102</v>
      </c>
      <c r="F33" s="47">
        <v>14011000</v>
      </c>
      <c r="G33" s="47">
        <v>0</v>
      </c>
      <c r="H33" s="47">
        <v>14011000</v>
      </c>
      <c r="I33" s="47">
        <v>0</v>
      </c>
      <c r="J33" s="47">
        <v>14011000</v>
      </c>
      <c r="K33" s="47">
        <v>0</v>
      </c>
      <c r="L33" s="47">
        <v>0</v>
      </c>
      <c r="M33" s="47">
        <v>0</v>
      </c>
      <c r="N33" s="556"/>
      <c r="O33" s="559">
        <f t="shared" si="0"/>
        <v>14011000</v>
      </c>
      <c r="P33" s="421"/>
    </row>
    <row r="34" spans="1:16" thickBot="1">
      <c r="A34" s="421"/>
      <c r="B34" s="474">
        <v>9</v>
      </c>
      <c r="C34" s="60">
        <v>12002</v>
      </c>
      <c r="D34" s="488"/>
      <c r="E34" s="53" t="s">
        <v>50</v>
      </c>
      <c r="F34" s="47">
        <v>123500000</v>
      </c>
      <c r="G34" s="47">
        <v>111815000</v>
      </c>
      <c r="H34" s="47">
        <v>11685000</v>
      </c>
      <c r="I34" s="47">
        <v>0</v>
      </c>
      <c r="J34" s="47">
        <v>11685000</v>
      </c>
      <c r="K34" s="47">
        <v>0</v>
      </c>
      <c r="L34" s="47">
        <v>0</v>
      </c>
      <c r="M34" s="47">
        <v>0</v>
      </c>
      <c r="N34" s="556"/>
      <c r="O34" s="559">
        <f t="shared" si="0"/>
        <v>11685000</v>
      </c>
      <c r="P34" s="421"/>
    </row>
    <row r="35" spans="1:16" hidden="1" thickBot="1">
      <c r="A35" s="421"/>
      <c r="B35" s="474">
        <v>10</v>
      </c>
      <c r="C35" s="60">
        <v>12003</v>
      </c>
      <c r="D35" s="488"/>
      <c r="E35" s="53" t="s">
        <v>104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556"/>
      <c r="O35" s="559">
        <f t="shared" si="0"/>
        <v>0</v>
      </c>
      <c r="P35" s="421"/>
    </row>
    <row r="36" spans="1:16" thickBot="1">
      <c r="A36" s="421"/>
      <c r="B36" s="474">
        <v>11</v>
      </c>
      <c r="C36" s="60">
        <v>13001</v>
      </c>
      <c r="D36" s="488"/>
      <c r="E36" s="53" t="s">
        <v>47</v>
      </c>
      <c r="F36" s="47">
        <v>21000000</v>
      </c>
      <c r="G36" s="47">
        <v>0</v>
      </c>
      <c r="H36" s="47">
        <v>21000000</v>
      </c>
      <c r="I36" s="47">
        <v>0</v>
      </c>
      <c r="J36" s="47">
        <v>21000000</v>
      </c>
      <c r="K36" s="47">
        <v>0</v>
      </c>
      <c r="L36" s="47">
        <v>0</v>
      </c>
      <c r="M36" s="47">
        <v>0</v>
      </c>
      <c r="N36" s="556"/>
      <c r="O36" s="559">
        <v>24000000</v>
      </c>
      <c r="P36" s="421"/>
    </row>
    <row r="37" spans="1:16" thickBot="1">
      <c r="A37" s="421"/>
      <c r="B37" s="474">
        <v>12</v>
      </c>
      <c r="C37" s="60" t="s">
        <v>51</v>
      </c>
      <c r="D37" s="488"/>
      <c r="E37" s="53" t="s">
        <v>52</v>
      </c>
      <c r="F37" s="47">
        <v>180000000</v>
      </c>
      <c r="G37" s="47">
        <v>0</v>
      </c>
      <c r="H37" s="47">
        <v>180000000</v>
      </c>
      <c r="I37" s="47">
        <v>0</v>
      </c>
      <c r="J37" s="47">
        <v>180000000</v>
      </c>
      <c r="K37" s="47">
        <v>0</v>
      </c>
      <c r="L37" s="47">
        <v>0</v>
      </c>
      <c r="M37" s="47">
        <v>0</v>
      </c>
      <c r="N37" s="556"/>
      <c r="O37" s="559">
        <f>+'activo no corriente 2022 '!J113</f>
        <v>135000000</v>
      </c>
      <c r="P37" s="421"/>
    </row>
    <row r="38" spans="1:16" thickBot="1">
      <c r="A38" s="421"/>
      <c r="B38" s="474">
        <v>13</v>
      </c>
      <c r="C38" s="60" t="s">
        <v>53</v>
      </c>
      <c r="D38" s="488"/>
      <c r="E38" s="53" t="s">
        <v>375</v>
      </c>
      <c r="F38" s="47">
        <v>420000000</v>
      </c>
      <c r="G38" s="47">
        <v>0</v>
      </c>
      <c r="H38" s="47">
        <v>420000000</v>
      </c>
      <c r="I38" s="47">
        <v>0</v>
      </c>
      <c r="J38" s="47">
        <v>420000000</v>
      </c>
      <c r="K38" s="47">
        <v>0</v>
      </c>
      <c r="L38" s="47">
        <v>0</v>
      </c>
      <c r="M38" s="47">
        <v>0</v>
      </c>
      <c r="N38" s="556"/>
      <c r="O38" s="559">
        <f>+'activo no corriente 2022 '!G140</f>
        <v>315000000</v>
      </c>
      <c r="P38" s="421"/>
    </row>
    <row r="39" spans="1:16" thickBot="1">
      <c r="A39" s="421"/>
      <c r="B39" s="474">
        <v>14</v>
      </c>
      <c r="C39" s="60">
        <v>15020</v>
      </c>
      <c r="D39" s="488"/>
      <c r="E39" s="53" t="s">
        <v>381</v>
      </c>
      <c r="F39" s="47">
        <v>5000000</v>
      </c>
      <c r="G39" s="47">
        <v>0</v>
      </c>
      <c r="H39" s="47">
        <v>5000000</v>
      </c>
      <c r="I39" s="47">
        <v>0</v>
      </c>
      <c r="J39" s="47">
        <v>5000000</v>
      </c>
      <c r="K39" s="47">
        <v>0</v>
      </c>
      <c r="L39" s="47">
        <v>0</v>
      </c>
      <c r="M39" s="47">
        <v>0</v>
      </c>
      <c r="N39" s="556"/>
      <c r="O39" s="559">
        <f>+'activo no corriente 2022 '!G29</f>
        <v>5625000</v>
      </c>
      <c r="P39" s="421"/>
    </row>
    <row r="40" spans="1:16" thickBot="1">
      <c r="A40" s="421"/>
      <c r="B40" s="474">
        <v>15</v>
      </c>
      <c r="C40" s="60">
        <v>15031</v>
      </c>
      <c r="D40" s="493"/>
      <c r="E40" s="53" t="s">
        <v>81</v>
      </c>
      <c r="F40" s="47">
        <v>12000000</v>
      </c>
      <c r="G40" s="47">
        <v>0</v>
      </c>
      <c r="H40" s="47">
        <v>12000000</v>
      </c>
      <c r="I40" s="47">
        <v>0</v>
      </c>
      <c r="J40" s="47">
        <v>12000000</v>
      </c>
      <c r="K40" s="47">
        <v>0</v>
      </c>
      <c r="L40" s="47">
        <v>0</v>
      </c>
      <c r="M40" s="47">
        <v>0</v>
      </c>
      <c r="N40" s="556"/>
      <c r="O40" s="559">
        <f>+'activo no corriente 2022 '!G71</f>
        <v>13500000</v>
      </c>
      <c r="P40" s="421"/>
    </row>
    <row r="41" spans="1:16" hidden="1" thickBot="1">
      <c r="A41" s="421"/>
      <c r="B41" s="474">
        <v>16</v>
      </c>
      <c r="C41" s="60">
        <v>15101</v>
      </c>
      <c r="D41" s="493"/>
      <c r="E41" s="53" t="s">
        <v>97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556"/>
      <c r="O41" s="559"/>
      <c r="P41" s="421"/>
    </row>
    <row r="42" spans="1:16" hidden="1" thickBot="1">
      <c r="A42" s="421"/>
      <c r="B42" s="474">
        <v>17</v>
      </c>
      <c r="C42" s="60">
        <v>15102</v>
      </c>
      <c r="D42" s="493"/>
      <c r="E42" s="53" t="s">
        <v>98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556"/>
      <c r="O42" s="559"/>
      <c r="P42" s="421"/>
    </row>
    <row r="43" spans="1:16" thickBot="1">
      <c r="A43" s="421"/>
      <c r="B43" s="474">
        <v>18</v>
      </c>
      <c r="C43" s="62">
        <v>15410</v>
      </c>
      <c r="D43" s="493"/>
      <c r="E43" s="53" t="s">
        <v>54</v>
      </c>
      <c r="F43" s="47">
        <v>0</v>
      </c>
      <c r="G43" s="47">
        <v>6880952.3809523806</v>
      </c>
      <c r="H43" s="47">
        <v>0</v>
      </c>
      <c r="I43" s="47">
        <v>6880952.3809523806</v>
      </c>
      <c r="J43" s="47">
        <v>0</v>
      </c>
      <c r="K43" s="47">
        <v>6880952.3809523806</v>
      </c>
      <c r="L43" s="47">
        <v>0</v>
      </c>
      <c r="M43" s="47">
        <v>0</v>
      </c>
      <c r="N43" s="556"/>
      <c r="O43" s="559">
        <f>-'activo no corriente 2022 '!I42-'activo no corriente 2022 '!I84-'activo no corriente 2022 '!I153</f>
        <v>-32105769.230769232</v>
      </c>
      <c r="P43" s="421"/>
    </row>
    <row r="44" spans="1:16" hidden="1" thickBot="1">
      <c r="A44" s="421"/>
      <c r="B44" s="474">
        <v>19</v>
      </c>
      <c r="C44" s="62">
        <v>15420</v>
      </c>
      <c r="D44" s="493"/>
      <c r="E44" s="53" t="s">
        <v>84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556"/>
      <c r="O44" s="559">
        <f t="shared" ref="O44:O62" si="1">-K44</f>
        <v>0</v>
      </c>
      <c r="P44" s="421"/>
    </row>
    <row r="45" spans="1:16" thickBot="1">
      <c r="A45" s="421"/>
      <c r="B45" s="474">
        <v>20</v>
      </c>
      <c r="C45" s="62">
        <v>20001</v>
      </c>
      <c r="D45" s="493"/>
      <c r="E45" s="53" t="s">
        <v>91</v>
      </c>
      <c r="F45" s="47">
        <v>0</v>
      </c>
      <c r="G45" s="47">
        <v>100000000</v>
      </c>
      <c r="H45" s="47">
        <v>0</v>
      </c>
      <c r="I45" s="47">
        <v>100000000</v>
      </c>
      <c r="J45" s="47">
        <v>0</v>
      </c>
      <c r="K45" s="47">
        <v>100000000</v>
      </c>
      <c r="L45" s="47"/>
      <c r="M45" s="47"/>
      <c r="N45" s="556"/>
      <c r="O45" s="559">
        <f t="shared" si="1"/>
        <v>-100000000</v>
      </c>
      <c r="P45" s="421"/>
    </row>
    <row r="46" spans="1:16" hidden="1" thickBot="1">
      <c r="A46" s="421"/>
      <c r="B46" s="474">
        <v>21</v>
      </c>
      <c r="C46" s="62">
        <v>20021</v>
      </c>
      <c r="D46" s="493"/>
      <c r="E46" s="53" t="s">
        <v>92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/>
      <c r="M46" s="47"/>
      <c r="N46" s="556"/>
      <c r="O46" s="559">
        <f t="shared" si="1"/>
        <v>0</v>
      </c>
      <c r="P46" s="421"/>
    </row>
    <row r="47" spans="1:16" thickBot="1">
      <c r="A47" s="421"/>
      <c r="B47" s="474">
        <v>22</v>
      </c>
      <c r="C47" s="62">
        <v>20151</v>
      </c>
      <c r="D47" s="493"/>
      <c r="E47" s="53" t="s">
        <v>55</v>
      </c>
      <c r="F47" s="47">
        <v>173812000</v>
      </c>
      <c r="G47" s="47">
        <v>190000000</v>
      </c>
      <c r="H47" s="47">
        <v>0</v>
      </c>
      <c r="I47" s="47">
        <v>16188000</v>
      </c>
      <c r="J47" s="47">
        <v>0</v>
      </c>
      <c r="K47" s="47">
        <v>16188000</v>
      </c>
      <c r="L47" s="47"/>
      <c r="M47" s="47"/>
      <c r="N47" s="556"/>
      <c r="O47" s="559">
        <f t="shared" si="1"/>
        <v>-16188000</v>
      </c>
      <c r="P47" s="421"/>
    </row>
    <row r="48" spans="1:16" thickBot="1">
      <c r="A48" s="421"/>
      <c r="B48" s="474">
        <v>23</v>
      </c>
      <c r="C48" s="60" t="s">
        <v>56</v>
      </c>
      <c r="D48" s="493"/>
      <c r="E48" s="53" t="s">
        <v>6</v>
      </c>
      <c r="F48" s="47">
        <v>915000</v>
      </c>
      <c r="G48" s="47">
        <v>187000000</v>
      </c>
      <c r="H48" s="47">
        <v>0</v>
      </c>
      <c r="I48" s="47">
        <v>186085000</v>
      </c>
      <c r="J48" s="47">
        <v>0</v>
      </c>
      <c r="K48" s="47">
        <v>186085000</v>
      </c>
      <c r="L48" s="47">
        <v>0</v>
      </c>
      <c r="M48" s="47">
        <v>0</v>
      </c>
      <c r="N48" s="556"/>
      <c r="O48" s="559">
        <f t="shared" si="1"/>
        <v>-186085000</v>
      </c>
      <c r="P48" s="421"/>
    </row>
    <row r="49" spans="1:16" thickBot="1">
      <c r="A49" s="421"/>
      <c r="B49" s="474">
        <v>24</v>
      </c>
      <c r="C49" s="60">
        <v>21002</v>
      </c>
      <c r="D49" s="493"/>
      <c r="E49" s="53" t="s">
        <v>57</v>
      </c>
      <c r="F49" s="47">
        <v>0</v>
      </c>
      <c r="G49" s="47">
        <v>18000000</v>
      </c>
      <c r="H49" s="47">
        <v>0</v>
      </c>
      <c r="I49" s="47">
        <v>18000000</v>
      </c>
      <c r="J49" s="47">
        <v>0</v>
      </c>
      <c r="K49" s="47">
        <v>18000000</v>
      </c>
      <c r="L49" s="47">
        <v>0</v>
      </c>
      <c r="M49" s="47">
        <v>0</v>
      </c>
      <c r="N49" s="556"/>
      <c r="O49" s="559">
        <f t="shared" si="1"/>
        <v>-18000000</v>
      </c>
      <c r="P49" s="421"/>
    </row>
    <row r="50" spans="1:16" thickBot="1">
      <c r="A50" s="421"/>
      <c r="B50" s="474">
        <v>25</v>
      </c>
      <c r="C50" s="60">
        <v>22001</v>
      </c>
      <c r="D50" s="493"/>
      <c r="E50" s="53" t="s">
        <v>105</v>
      </c>
      <c r="F50" s="47">
        <v>41148000</v>
      </c>
      <c r="G50" s="47">
        <v>41148000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556"/>
      <c r="O50" s="559">
        <f t="shared" si="1"/>
        <v>0</v>
      </c>
      <c r="P50" s="421"/>
    </row>
    <row r="51" spans="1:16" thickBot="1">
      <c r="A51" s="421"/>
      <c r="B51" s="474">
        <v>26</v>
      </c>
      <c r="C51" s="60">
        <v>22002</v>
      </c>
      <c r="D51" s="493"/>
      <c r="E51" s="53" t="s">
        <v>100</v>
      </c>
      <c r="F51" s="47">
        <v>12099200</v>
      </c>
      <c r="G51" s="47">
        <v>13422000</v>
      </c>
      <c r="H51" s="47">
        <v>0</v>
      </c>
      <c r="I51" s="47">
        <v>1322800</v>
      </c>
      <c r="J51" s="47">
        <v>0</v>
      </c>
      <c r="K51" s="47">
        <v>1322800</v>
      </c>
      <c r="L51" s="47">
        <v>0</v>
      </c>
      <c r="M51" s="47">
        <v>0</v>
      </c>
      <c r="N51" s="556"/>
      <c r="O51" s="559">
        <f t="shared" si="1"/>
        <v>-1322800</v>
      </c>
      <c r="P51" s="421"/>
    </row>
    <row r="52" spans="1:16" thickBot="1">
      <c r="A52" s="421"/>
      <c r="B52" s="474">
        <v>27</v>
      </c>
      <c r="C52" s="60">
        <v>22051</v>
      </c>
      <c r="D52" s="493"/>
      <c r="E52" s="53" t="s">
        <v>60</v>
      </c>
      <c r="F52" s="47">
        <v>390000</v>
      </c>
      <c r="G52" s="47">
        <v>500000</v>
      </c>
      <c r="H52" s="47">
        <v>0</v>
      </c>
      <c r="I52" s="47">
        <v>110000</v>
      </c>
      <c r="J52" s="47">
        <v>0</v>
      </c>
      <c r="K52" s="47">
        <v>110000</v>
      </c>
      <c r="L52" s="47">
        <v>0</v>
      </c>
      <c r="M52" s="47">
        <v>0</v>
      </c>
      <c r="N52" s="556"/>
      <c r="O52" s="559">
        <f t="shared" si="1"/>
        <v>-110000</v>
      </c>
      <c r="P52" s="421"/>
    </row>
    <row r="53" spans="1:16" hidden="1" thickBot="1">
      <c r="A53" s="421"/>
      <c r="B53" s="474">
        <v>28</v>
      </c>
      <c r="C53" s="61">
        <v>23001</v>
      </c>
      <c r="D53" s="493"/>
      <c r="E53" s="53" t="s">
        <v>88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556"/>
      <c r="O53" s="559">
        <f t="shared" si="1"/>
        <v>0</v>
      </c>
      <c r="P53" s="421"/>
    </row>
    <row r="54" spans="1:16" thickBot="1">
      <c r="A54" s="421"/>
      <c r="B54" s="474">
        <v>29</v>
      </c>
      <c r="C54" s="62">
        <v>24001</v>
      </c>
      <c r="D54" s="493"/>
      <c r="E54" s="53" t="s">
        <v>61</v>
      </c>
      <c r="F54" s="47">
        <v>0</v>
      </c>
      <c r="G54" s="47">
        <v>99425494.153846174</v>
      </c>
      <c r="H54" s="47">
        <v>0</v>
      </c>
      <c r="I54" s="47">
        <v>99425494.153846174</v>
      </c>
      <c r="J54" s="47">
        <v>0</v>
      </c>
      <c r="K54" s="47">
        <v>99425494.153846174</v>
      </c>
      <c r="L54" s="47">
        <v>0</v>
      </c>
      <c r="M54" s="47">
        <v>0</v>
      </c>
      <c r="N54" s="556"/>
      <c r="O54" s="559"/>
      <c r="P54" s="421"/>
    </row>
    <row r="55" spans="1:16" hidden="1" thickBot="1">
      <c r="A55" s="421"/>
      <c r="B55" s="474">
        <v>30</v>
      </c>
      <c r="C55" s="61">
        <v>24002</v>
      </c>
      <c r="D55" s="493"/>
      <c r="E55" s="53" t="s">
        <v>96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556"/>
      <c r="O55" s="559">
        <f t="shared" si="1"/>
        <v>0</v>
      </c>
      <c r="P55" s="421"/>
    </row>
    <row r="56" spans="1:16" thickBot="1">
      <c r="A56" s="421"/>
      <c r="B56" s="474">
        <v>31</v>
      </c>
      <c r="C56" s="61">
        <v>24010</v>
      </c>
      <c r="D56" s="493"/>
      <c r="E56" s="53" t="s">
        <v>103</v>
      </c>
      <c r="F56" s="47">
        <v>0</v>
      </c>
      <c r="G56" s="47">
        <v>2556000</v>
      </c>
      <c r="H56" s="47">
        <v>0</v>
      </c>
      <c r="I56" s="47">
        <v>2556000</v>
      </c>
      <c r="J56" s="47">
        <v>0</v>
      </c>
      <c r="K56" s="47">
        <v>2556000</v>
      </c>
      <c r="L56" s="47">
        <v>0</v>
      </c>
      <c r="M56" s="47">
        <v>0</v>
      </c>
      <c r="N56" s="556"/>
      <c r="O56" s="559">
        <f t="shared" si="1"/>
        <v>-2556000</v>
      </c>
      <c r="P56" s="421"/>
    </row>
    <row r="57" spans="1:16" thickBot="1">
      <c r="A57" s="421"/>
      <c r="B57" s="474">
        <v>32</v>
      </c>
      <c r="C57" s="60">
        <v>24015</v>
      </c>
      <c r="D57" s="493"/>
      <c r="E57" s="53" t="s">
        <v>59</v>
      </c>
      <c r="F57" s="47">
        <v>0</v>
      </c>
      <c r="G57" s="47">
        <v>2016666.6666666665</v>
      </c>
      <c r="H57" s="47">
        <v>0</v>
      </c>
      <c r="I57" s="47">
        <v>2016666.6666666665</v>
      </c>
      <c r="J57" s="47">
        <v>0</v>
      </c>
      <c r="K57" s="47">
        <v>2016666.6666666665</v>
      </c>
      <c r="L57" s="47">
        <v>0</v>
      </c>
      <c r="M57" s="47">
        <v>0</v>
      </c>
      <c r="N57" s="556"/>
      <c r="O57" s="559"/>
      <c r="P57" s="421"/>
    </row>
    <row r="58" spans="1:16" thickBot="1">
      <c r="A58" s="421"/>
      <c r="B58" s="474">
        <v>33</v>
      </c>
      <c r="C58" s="61">
        <v>25001</v>
      </c>
      <c r="D58" s="493"/>
      <c r="E58" s="53" t="s">
        <v>89</v>
      </c>
      <c r="F58" s="47">
        <v>0</v>
      </c>
      <c r="G58" s="47">
        <v>1918100.2747252584</v>
      </c>
      <c r="H58" s="47">
        <v>0</v>
      </c>
      <c r="I58" s="47">
        <v>1918100.2747252584</v>
      </c>
      <c r="J58" s="47">
        <v>0</v>
      </c>
      <c r="K58" s="47">
        <v>1918100.2747252584</v>
      </c>
      <c r="L58" s="47">
        <v>0</v>
      </c>
      <c r="M58" s="47">
        <v>0</v>
      </c>
      <c r="N58" s="556"/>
      <c r="O58" s="559"/>
      <c r="P58" s="421"/>
    </row>
    <row r="59" spans="1:16" thickBot="1">
      <c r="A59" s="421"/>
      <c r="B59" s="474">
        <v>34</v>
      </c>
      <c r="C59" s="60">
        <v>33001</v>
      </c>
      <c r="D59" s="493"/>
      <c r="E59" s="53" t="s">
        <v>72</v>
      </c>
      <c r="F59" s="47">
        <v>0</v>
      </c>
      <c r="G59" s="47">
        <v>300000000</v>
      </c>
      <c r="H59" s="47">
        <v>0</v>
      </c>
      <c r="I59" s="47">
        <v>300000000</v>
      </c>
      <c r="J59" s="47">
        <v>0</v>
      </c>
      <c r="K59" s="47">
        <v>300000000</v>
      </c>
      <c r="L59" s="47">
        <v>0</v>
      </c>
      <c r="M59" s="47">
        <v>0</v>
      </c>
      <c r="N59" s="556"/>
      <c r="O59" s="559"/>
      <c r="P59" s="421"/>
    </row>
    <row r="60" spans="1:16" thickBot="1">
      <c r="A60" s="421"/>
      <c r="B60" s="474">
        <v>35</v>
      </c>
      <c r="C60" s="60">
        <v>33002</v>
      </c>
      <c r="D60" s="493"/>
      <c r="E60" s="53" t="s">
        <v>73</v>
      </c>
      <c r="F60" s="47">
        <v>300000000</v>
      </c>
      <c r="G60" s="47">
        <v>270000000</v>
      </c>
      <c r="H60" s="47">
        <v>30000000</v>
      </c>
      <c r="I60" s="47">
        <v>0</v>
      </c>
      <c r="J60" s="47">
        <v>30000000</v>
      </c>
      <c r="K60" s="47">
        <v>0</v>
      </c>
      <c r="L60" s="47">
        <v>0</v>
      </c>
      <c r="M60" s="47">
        <v>0</v>
      </c>
      <c r="N60" s="556"/>
      <c r="O60" s="559"/>
      <c r="P60" s="421"/>
    </row>
    <row r="61" spans="1:16" thickBot="1">
      <c r="A61" s="421"/>
      <c r="B61" s="474">
        <v>36</v>
      </c>
      <c r="C61" s="60">
        <v>33003</v>
      </c>
      <c r="D61" s="493"/>
      <c r="E61" s="53" t="s">
        <v>74</v>
      </c>
      <c r="F61" s="47">
        <v>270000000</v>
      </c>
      <c r="G61" s="47">
        <v>120000000</v>
      </c>
      <c r="H61" s="47">
        <v>150000000</v>
      </c>
      <c r="I61" s="47">
        <v>0</v>
      </c>
      <c r="J61" s="47">
        <v>150000000</v>
      </c>
      <c r="K61" s="47">
        <v>0</v>
      </c>
      <c r="L61" s="47">
        <v>0</v>
      </c>
      <c r="M61" s="47">
        <v>0</v>
      </c>
      <c r="N61" s="556"/>
      <c r="O61" s="559"/>
      <c r="P61" s="421"/>
    </row>
    <row r="62" spans="1:16" thickBot="1">
      <c r="A62" s="421"/>
      <c r="B62" s="474">
        <v>37</v>
      </c>
      <c r="C62" s="60">
        <v>33011</v>
      </c>
      <c r="D62" s="493"/>
      <c r="E62" s="53" t="s">
        <v>62</v>
      </c>
      <c r="F62" s="47">
        <v>0</v>
      </c>
      <c r="G62" s="47">
        <v>200000000</v>
      </c>
      <c r="H62" s="47">
        <v>0</v>
      </c>
      <c r="I62" s="47">
        <v>200000000</v>
      </c>
      <c r="J62" s="47">
        <v>0</v>
      </c>
      <c r="K62" s="47">
        <v>200000000</v>
      </c>
      <c r="L62" s="47">
        <v>0</v>
      </c>
      <c r="M62" s="47">
        <v>0</v>
      </c>
      <c r="N62" s="556"/>
      <c r="O62" s="559"/>
      <c r="P62" s="421"/>
    </row>
    <row r="63" spans="1:16" thickBot="1">
      <c r="A63" s="421"/>
      <c r="B63" s="474">
        <v>38</v>
      </c>
      <c r="C63" s="62">
        <v>34001</v>
      </c>
      <c r="D63" s="493"/>
      <c r="E63" s="53" t="s">
        <v>76</v>
      </c>
      <c r="F63" s="47">
        <v>100000000</v>
      </c>
      <c r="G63" s="47">
        <v>0</v>
      </c>
      <c r="H63" s="47">
        <v>100000000</v>
      </c>
      <c r="I63" s="47">
        <v>0</v>
      </c>
      <c r="J63" s="47">
        <v>100000000</v>
      </c>
      <c r="K63" s="47">
        <v>0</v>
      </c>
      <c r="L63" s="47">
        <v>0</v>
      </c>
      <c r="M63" s="47">
        <v>0</v>
      </c>
      <c r="N63" s="556"/>
      <c r="O63" s="559"/>
      <c r="P63" s="421"/>
    </row>
    <row r="64" spans="1:16" thickBot="1">
      <c r="A64" s="421"/>
      <c r="B64" s="474">
        <v>39</v>
      </c>
      <c r="C64" s="62">
        <v>41001</v>
      </c>
      <c r="D64" s="493"/>
      <c r="E64" s="53" t="s">
        <v>94</v>
      </c>
      <c r="F64" s="47">
        <v>300000000</v>
      </c>
      <c r="G64" s="47">
        <v>0</v>
      </c>
      <c r="H64" s="47">
        <v>300000000</v>
      </c>
      <c r="I64" s="47">
        <v>0</v>
      </c>
      <c r="J64" s="47"/>
      <c r="K64" s="47"/>
      <c r="L64" s="47">
        <v>300000000</v>
      </c>
      <c r="M64" s="47">
        <v>0</v>
      </c>
      <c r="N64" s="556"/>
      <c r="O64" s="559"/>
      <c r="P64" s="421"/>
    </row>
    <row r="65" spans="1:16" thickBot="1">
      <c r="A65" s="421"/>
      <c r="B65" s="474">
        <v>40</v>
      </c>
      <c r="C65" s="62">
        <v>42001</v>
      </c>
      <c r="D65" s="493"/>
      <c r="E65" s="53" t="s">
        <v>63</v>
      </c>
      <c r="F65" s="47">
        <v>50800000</v>
      </c>
      <c r="G65" s="47">
        <v>0</v>
      </c>
      <c r="H65" s="47">
        <v>50800000</v>
      </c>
      <c r="I65" s="47">
        <v>0</v>
      </c>
      <c r="J65" s="47"/>
      <c r="K65" s="47"/>
      <c r="L65" s="47">
        <v>50800000</v>
      </c>
      <c r="M65" s="47">
        <v>0</v>
      </c>
      <c r="N65" s="556"/>
      <c r="O65" s="559"/>
      <c r="P65" s="421"/>
    </row>
    <row r="66" spans="1:16" thickBot="1">
      <c r="A66" s="421"/>
      <c r="B66" s="474">
        <v>41</v>
      </c>
      <c r="C66" s="62">
        <v>42002</v>
      </c>
      <c r="D66" s="493"/>
      <c r="E66" s="53" t="s">
        <v>77</v>
      </c>
      <c r="F66" s="47">
        <v>2540000</v>
      </c>
      <c r="G66" s="47">
        <v>0</v>
      </c>
      <c r="H66" s="47">
        <v>2540000</v>
      </c>
      <c r="I66" s="47">
        <v>0</v>
      </c>
      <c r="J66" s="47"/>
      <c r="K66" s="47"/>
      <c r="L66" s="47">
        <v>2540000</v>
      </c>
      <c r="M66" s="47">
        <v>0</v>
      </c>
      <c r="N66" s="556"/>
      <c r="O66" s="559"/>
      <c r="P66" s="421"/>
    </row>
    <row r="67" spans="1:16" thickBot="1">
      <c r="A67" s="421"/>
      <c r="B67" s="474">
        <v>42</v>
      </c>
      <c r="C67" s="62">
        <v>42051</v>
      </c>
      <c r="D67" s="493"/>
      <c r="E67" s="53" t="s">
        <v>64</v>
      </c>
      <c r="F67" s="47">
        <v>12345000</v>
      </c>
      <c r="G67" s="47">
        <v>0</v>
      </c>
      <c r="H67" s="47">
        <v>12345000</v>
      </c>
      <c r="I67" s="47">
        <v>0</v>
      </c>
      <c r="J67" s="47"/>
      <c r="K67" s="47"/>
      <c r="L67" s="47">
        <v>12345000</v>
      </c>
      <c r="M67" s="47">
        <v>0</v>
      </c>
      <c r="N67" s="556"/>
      <c r="O67" s="558"/>
      <c r="P67" s="421"/>
    </row>
    <row r="68" spans="1:16" thickBot="1">
      <c r="A68" s="421"/>
      <c r="B68" s="474">
        <v>43</v>
      </c>
      <c r="C68" s="62">
        <v>43001</v>
      </c>
      <c r="D68" s="488"/>
      <c r="E68" s="53" t="s">
        <v>95</v>
      </c>
      <c r="F68" s="47">
        <v>0</v>
      </c>
      <c r="G68" s="47">
        <v>0</v>
      </c>
      <c r="H68" s="47">
        <v>0</v>
      </c>
      <c r="I68" s="47">
        <v>0</v>
      </c>
      <c r="J68" s="47"/>
      <c r="K68" s="47"/>
      <c r="L68" s="47">
        <v>0</v>
      </c>
      <c r="M68" s="47">
        <v>0</v>
      </c>
      <c r="N68" s="556"/>
      <c r="O68" s="558"/>
      <c r="P68" s="421"/>
    </row>
    <row r="69" spans="1:16" thickBot="1">
      <c r="A69" s="421"/>
      <c r="B69" s="474">
        <v>44</v>
      </c>
      <c r="C69" s="62">
        <v>43002</v>
      </c>
      <c r="D69" s="488"/>
      <c r="E69" s="53" t="s">
        <v>390</v>
      </c>
      <c r="F69" s="47">
        <v>2016666.6666666665</v>
      </c>
      <c r="G69" s="47">
        <v>0</v>
      </c>
      <c r="H69" s="47">
        <v>2016666.6666666665</v>
      </c>
      <c r="I69" s="47">
        <v>0</v>
      </c>
      <c r="J69" s="47"/>
      <c r="K69" s="47"/>
      <c r="L69" s="47">
        <v>2016666.6666666665</v>
      </c>
      <c r="M69" s="47">
        <v>0</v>
      </c>
      <c r="N69" s="556"/>
      <c r="O69" s="558"/>
      <c r="P69" s="421"/>
    </row>
    <row r="70" spans="1:16" thickBot="1">
      <c r="A70" s="421"/>
      <c r="B70" s="474">
        <v>45</v>
      </c>
      <c r="C70" s="62" t="s">
        <v>65</v>
      </c>
      <c r="D70" s="488"/>
      <c r="E70" s="53" t="s">
        <v>66</v>
      </c>
      <c r="F70" s="47">
        <v>3570000</v>
      </c>
      <c r="G70" s="47">
        <v>0</v>
      </c>
      <c r="H70" s="47">
        <v>3570000</v>
      </c>
      <c r="I70" s="47">
        <v>0</v>
      </c>
      <c r="J70" s="47"/>
      <c r="K70" s="47"/>
      <c r="L70" s="47">
        <v>3570000</v>
      </c>
      <c r="M70" s="47">
        <v>0</v>
      </c>
      <c r="N70" s="556"/>
      <c r="O70" s="558"/>
      <c r="P70" s="421"/>
    </row>
    <row r="71" spans="1:16" thickBot="1">
      <c r="A71" s="421"/>
      <c r="B71" s="474">
        <v>46</v>
      </c>
      <c r="C71" s="62" t="s">
        <v>67</v>
      </c>
      <c r="D71" s="488"/>
      <c r="E71" s="53" t="s">
        <v>68</v>
      </c>
      <c r="F71" s="47">
        <v>99757086.428571433</v>
      </c>
      <c r="G71" s="47">
        <v>0</v>
      </c>
      <c r="H71" s="47">
        <v>99757086.428571433</v>
      </c>
      <c r="I71" s="47">
        <v>0</v>
      </c>
      <c r="J71" s="47"/>
      <c r="K71" s="47"/>
      <c r="L71" s="47">
        <v>99757086.428571433</v>
      </c>
      <c r="M71" s="47">
        <v>0</v>
      </c>
      <c r="N71" s="556"/>
      <c r="O71" s="558"/>
      <c r="P71" s="421"/>
    </row>
    <row r="72" spans="1:16" thickBot="1">
      <c r="A72" s="421"/>
      <c r="B72" s="474">
        <v>47</v>
      </c>
      <c r="C72" s="62" t="s">
        <v>533</v>
      </c>
      <c r="D72" s="488"/>
      <c r="E72" s="53" t="s">
        <v>534</v>
      </c>
      <c r="F72" s="47">
        <v>1586508</v>
      </c>
      <c r="G72" s="47">
        <v>0</v>
      </c>
      <c r="H72" s="47">
        <v>1586508</v>
      </c>
      <c r="I72" s="47">
        <v>0</v>
      </c>
      <c r="J72" s="47"/>
      <c r="K72" s="47"/>
      <c r="L72" s="47">
        <v>1586508</v>
      </c>
      <c r="M72" s="47">
        <v>0</v>
      </c>
      <c r="N72" s="556"/>
      <c r="O72" s="558"/>
      <c r="P72" s="421"/>
    </row>
    <row r="73" spans="1:16" thickBot="1">
      <c r="A73" s="421"/>
      <c r="B73" s="474">
        <v>48</v>
      </c>
      <c r="C73" s="62">
        <v>45101</v>
      </c>
      <c r="D73" s="488"/>
      <c r="E73" s="53" t="s">
        <v>69</v>
      </c>
      <c r="F73" s="47">
        <v>1874000</v>
      </c>
      <c r="G73" s="47">
        <v>0</v>
      </c>
      <c r="H73" s="47">
        <v>1874000</v>
      </c>
      <c r="I73" s="47">
        <v>0</v>
      </c>
      <c r="J73" s="47"/>
      <c r="K73" s="47"/>
      <c r="L73" s="47">
        <v>1874000</v>
      </c>
      <c r="M73" s="47">
        <v>0</v>
      </c>
      <c r="N73" s="556"/>
      <c r="O73" s="558"/>
      <c r="P73" s="421"/>
    </row>
    <row r="74" spans="1:16" thickBot="1">
      <c r="A74" s="421"/>
      <c r="B74" s="474">
        <v>49</v>
      </c>
      <c r="C74" s="62">
        <v>46001</v>
      </c>
      <c r="D74" s="488"/>
      <c r="E74" s="53" t="s">
        <v>167</v>
      </c>
      <c r="F74" s="47">
        <v>2800000</v>
      </c>
      <c r="G74" s="47">
        <v>0</v>
      </c>
      <c r="H74" s="47">
        <v>2800000</v>
      </c>
      <c r="I74" s="47">
        <v>0</v>
      </c>
      <c r="J74" s="47"/>
      <c r="K74" s="47"/>
      <c r="L74" s="47">
        <v>2800000</v>
      </c>
      <c r="M74" s="47">
        <v>0</v>
      </c>
      <c r="N74" s="556"/>
      <c r="O74" s="558"/>
      <c r="P74" s="421"/>
    </row>
    <row r="75" spans="1:16" thickBot="1">
      <c r="A75" s="421"/>
      <c r="B75" s="474">
        <v>50</v>
      </c>
      <c r="C75" s="62">
        <v>47141</v>
      </c>
      <c r="D75" s="488"/>
      <c r="E75" s="53" t="s">
        <v>79</v>
      </c>
      <c r="F75" s="47">
        <v>9000000</v>
      </c>
      <c r="G75" s="47">
        <v>0</v>
      </c>
      <c r="H75" s="47">
        <v>9000000</v>
      </c>
      <c r="I75" s="47">
        <v>0</v>
      </c>
      <c r="J75" s="47"/>
      <c r="K75" s="47"/>
      <c r="L75" s="47">
        <v>9000000</v>
      </c>
      <c r="M75" s="47">
        <v>0</v>
      </c>
      <c r="N75" s="556"/>
      <c r="O75" s="558"/>
      <c r="P75" s="421"/>
    </row>
    <row r="76" spans="1:16" hidden="1" thickBot="1">
      <c r="A76" s="421"/>
      <c r="B76" s="474">
        <v>51</v>
      </c>
      <c r="C76" s="62">
        <v>47151</v>
      </c>
      <c r="D76" s="493"/>
      <c r="E76" s="53" t="s">
        <v>82</v>
      </c>
      <c r="F76" s="47">
        <v>0</v>
      </c>
      <c r="G76" s="47">
        <v>0</v>
      </c>
      <c r="H76" s="47">
        <v>0</v>
      </c>
      <c r="I76" s="47">
        <v>0</v>
      </c>
      <c r="J76" s="47"/>
      <c r="K76" s="47"/>
      <c r="L76" s="47">
        <v>0</v>
      </c>
      <c r="M76" s="47">
        <v>0</v>
      </c>
      <c r="N76" s="556"/>
      <c r="O76" s="558"/>
      <c r="P76" s="421"/>
    </row>
    <row r="77" spans="1:16" hidden="1" thickBot="1">
      <c r="A77" s="421"/>
      <c r="B77" s="474">
        <v>52</v>
      </c>
      <c r="C77" s="62">
        <v>47152</v>
      </c>
      <c r="D77" s="493"/>
      <c r="E77" s="53" t="s">
        <v>18</v>
      </c>
      <c r="F77" s="47">
        <v>0</v>
      </c>
      <c r="G77" s="47">
        <v>0</v>
      </c>
      <c r="H77" s="47">
        <v>0</v>
      </c>
      <c r="I77" s="47">
        <v>0</v>
      </c>
      <c r="J77" s="47"/>
      <c r="K77" s="47"/>
      <c r="L77" s="47">
        <v>0</v>
      </c>
      <c r="M77" s="47">
        <v>0</v>
      </c>
      <c r="N77" s="556"/>
      <c r="O77" s="558"/>
      <c r="P77" s="421"/>
    </row>
    <row r="78" spans="1:16" hidden="1" thickBot="1">
      <c r="A78" s="421"/>
      <c r="B78" s="474">
        <v>53</v>
      </c>
      <c r="C78" s="62">
        <v>48001</v>
      </c>
      <c r="D78" s="493"/>
      <c r="E78" s="53" t="s">
        <v>83</v>
      </c>
      <c r="F78" s="47">
        <v>0</v>
      </c>
      <c r="G78" s="47">
        <v>0</v>
      </c>
      <c r="H78" s="47">
        <v>0</v>
      </c>
      <c r="I78" s="47">
        <v>0</v>
      </c>
      <c r="J78" s="47"/>
      <c r="K78" s="47"/>
      <c r="L78" s="47">
        <v>0</v>
      </c>
      <c r="M78" s="47">
        <v>0</v>
      </c>
      <c r="N78" s="556"/>
      <c r="O78" s="558"/>
      <c r="P78" s="421"/>
    </row>
    <row r="79" spans="1:16" hidden="1" thickBot="1">
      <c r="A79" s="421"/>
      <c r="B79" s="474">
        <v>54</v>
      </c>
      <c r="C79" s="62">
        <v>48101</v>
      </c>
      <c r="D79" s="493"/>
      <c r="E79" s="53" t="s">
        <v>93</v>
      </c>
      <c r="F79" s="47">
        <v>0</v>
      </c>
      <c r="G79" s="47">
        <v>0</v>
      </c>
      <c r="H79" s="47">
        <v>0</v>
      </c>
      <c r="I79" s="47">
        <v>0</v>
      </c>
      <c r="J79" s="47"/>
      <c r="K79" s="47"/>
      <c r="L79" s="47">
        <v>0</v>
      </c>
      <c r="M79" s="47">
        <v>0</v>
      </c>
      <c r="N79" s="556"/>
      <c r="O79" s="558"/>
      <c r="P79" s="421"/>
    </row>
    <row r="80" spans="1:16" hidden="1" thickBot="1">
      <c r="A80" s="421"/>
      <c r="B80" s="474">
        <v>55</v>
      </c>
      <c r="C80" s="62">
        <v>48150</v>
      </c>
      <c r="D80" s="493"/>
      <c r="E80" s="53" t="s">
        <v>87</v>
      </c>
      <c r="F80" s="47">
        <v>0</v>
      </c>
      <c r="G80" s="47">
        <v>0</v>
      </c>
      <c r="H80" s="47">
        <v>0</v>
      </c>
      <c r="I80" s="47">
        <v>0</v>
      </c>
      <c r="J80" s="47"/>
      <c r="K80" s="47"/>
      <c r="L80" s="47">
        <v>0</v>
      </c>
      <c r="M80" s="47">
        <v>0</v>
      </c>
      <c r="N80" s="556"/>
      <c r="O80" s="558"/>
      <c r="P80" s="421"/>
    </row>
    <row r="81" spans="1:16" thickBot="1">
      <c r="A81" s="421"/>
      <c r="B81" s="474">
        <v>56</v>
      </c>
      <c r="C81" s="62">
        <v>49001</v>
      </c>
      <c r="D81" s="493"/>
      <c r="E81" s="53" t="s">
        <v>85</v>
      </c>
      <c r="F81" s="47">
        <v>6880952.3809523806</v>
      </c>
      <c r="G81" s="47">
        <v>0</v>
      </c>
      <c r="H81" s="47">
        <v>6880952.3809523806</v>
      </c>
      <c r="I81" s="47">
        <v>0</v>
      </c>
      <c r="J81" s="47"/>
      <c r="K81" s="47"/>
      <c r="L81" s="47">
        <v>6880952.3809523806</v>
      </c>
      <c r="M81" s="47">
        <v>0</v>
      </c>
      <c r="N81" s="556"/>
      <c r="O81" s="558"/>
      <c r="P81" s="421"/>
    </row>
    <row r="82" spans="1:16" hidden="1" thickBot="1">
      <c r="A82" s="421"/>
      <c r="B82" s="474">
        <v>57</v>
      </c>
      <c r="C82" s="62">
        <v>49101</v>
      </c>
      <c r="D82" s="493"/>
      <c r="E82" s="53" t="s">
        <v>86</v>
      </c>
      <c r="F82" s="47">
        <v>0</v>
      </c>
      <c r="G82" s="47">
        <v>0</v>
      </c>
      <c r="H82" s="47">
        <v>0</v>
      </c>
      <c r="I82" s="47">
        <v>0</v>
      </c>
      <c r="J82" s="47"/>
      <c r="K82" s="47"/>
      <c r="L82" s="47">
        <v>0</v>
      </c>
      <c r="M82" s="47">
        <v>0</v>
      </c>
      <c r="N82" s="556"/>
      <c r="O82" s="558"/>
      <c r="P82" s="421"/>
    </row>
    <row r="83" spans="1:16" hidden="1" thickBot="1">
      <c r="A83" s="421"/>
      <c r="B83" s="474">
        <v>58</v>
      </c>
      <c r="C83" s="62">
        <v>49120</v>
      </c>
      <c r="D83" s="493"/>
      <c r="E83" s="53" t="s">
        <v>90</v>
      </c>
      <c r="F83" s="47">
        <v>0</v>
      </c>
      <c r="G83" s="47">
        <v>0</v>
      </c>
      <c r="H83" s="47">
        <v>0</v>
      </c>
      <c r="I83" s="47">
        <v>0</v>
      </c>
      <c r="J83" s="47"/>
      <c r="K83" s="47"/>
      <c r="L83" s="47">
        <v>0</v>
      </c>
      <c r="M83" s="47">
        <v>0</v>
      </c>
      <c r="N83" s="556"/>
      <c r="O83" s="558"/>
      <c r="P83" s="421"/>
    </row>
    <row r="84" spans="1:16" thickBot="1">
      <c r="A84" s="421"/>
      <c r="B84" s="474">
        <v>59</v>
      </c>
      <c r="C84" s="62">
        <v>50001</v>
      </c>
      <c r="D84" s="493"/>
      <c r="E84" s="53" t="s">
        <v>70</v>
      </c>
      <c r="F84" s="47">
        <v>0</v>
      </c>
      <c r="G84" s="47">
        <v>748000</v>
      </c>
      <c r="H84" s="47">
        <v>0</v>
      </c>
      <c r="I84" s="47">
        <v>748000</v>
      </c>
      <c r="J84" s="47"/>
      <c r="K84" s="47"/>
      <c r="L84" s="47">
        <v>0</v>
      </c>
      <c r="M84" s="47">
        <v>748000</v>
      </c>
      <c r="N84" s="556"/>
      <c r="O84" s="558"/>
      <c r="P84" s="421"/>
    </row>
    <row r="85" spans="1:16" thickBot="1">
      <c r="A85" s="421"/>
      <c r="B85" s="474">
        <v>60</v>
      </c>
      <c r="C85" s="62">
        <v>50051</v>
      </c>
      <c r="D85" s="493"/>
      <c r="E85" s="53" t="s">
        <v>78</v>
      </c>
      <c r="F85" s="47">
        <v>0</v>
      </c>
      <c r="G85" s="47">
        <v>255000</v>
      </c>
      <c r="H85" s="47">
        <v>0</v>
      </c>
      <c r="I85" s="47">
        <v>255000</v>
      </c>
      <c r="J85" s="47"/>
      <c r="K85" s="47"/>
      <c r="L85" s="47">
        <v>0</v>
      </c>
      <c r="M85" s="47">
        <v>255000</v>
      </c>
      <c r="N85" s="556"/>
      <c r="O85" s="558"/>
      <c r="P85" s="421"/>
    </row>
    <row r="86" spans="1:16" thickBot="1">
      <c r="A86" s="421"/>
      <c r="B86" s="474">
        <v>61</v>
      </c>
      <c r="C86" s="62">
        <v>51001</v>
      </c>
      <c r="D86" s="493"/>
      <c r="E86" s="53" t="s">
        <v>71</v>
      </c>
      <c r="F86" s="47">
        <v>0</v>
      </c>
      <c r="G86" s="47">
        <v>1000000000</v>
      </c>
      <c r="H86" s="47">
        <v>0</v>
      </c>
      <c r="I86" s="47">
        <v>1000000000</v>
      </c>
      <c r="J86" s="47"/>
      <c r="K86" s="47"/>
      <c r="L86" s="47">
        <v>0</v>
      </c>
      <c r="M86" s="47">
        <v>1000000000</v>
      </c>
      <c r="N86" s="556"/>
      <c r="O86" s="558"/>
      <c r="P86" s="421"/>
    </row>
    <row r="87" spans="1:16" thickBot="1">
      <c r="A87" s="421"/>
      <c r="B87" s="501"/>
      <c r="C87" s="502"/>
      <c r="D87" s="503"/>
      <c r="E87" s="502"/>
      <c r="F87" s="504">
        <f>SUM(F26:F86)</f>
        <v>4297445413.4761906</v>
      </c>
      <c r="G87" s="504">
        <f>SUM(G26:G86)</f>
        <v>4297445413.4761906</v>
      </c>
      <c r="H87" s="504">
        <f>SUM(H26:H86)</f>
        <v>1944506013.4761906</v>
      </c>
      <c r="I87" s="504">
        <f>SUM(I26:I86)</f>
        <v>1944506013.4761906</v>
      </c>
      <c r="J87" s="504">
        <f>SUM(J26:J86)</f>
        <v>1451335800</v>
      </c>
      <c r="K87" s="504">
        <f>SUM(K26:K86)</f>
        <v>943503013.47619045</v>
      </c>
      <c r="L87" s="504">
        <f>SUM(L26:L86)</f>
        <v>493170213.47619045</v>
      </c>
      <c r="M87" s="504">
        <f>SUM(M26:M86)</f>
        <v>1001003000</v>
      </c>
      <c r="N87" s="557"/>
      <c r="O87" s="560"/>
      <c r="P87" s="421"/>
    </row>
    <row r="88" spans="1:16" ht="16.5" thickBot="1">
      <c r="A88" s="421"/>
      <c r="B88" s="507"/>
      <c r="C88" s="425"/>
      <c r="D88" s="425"/>
      <c r="E88" s="425"/>
      <c r="F88" s="425"/>
      <c r="G88" s="425"/>
      <c r="H88" s="425"/>
      <c r="I88" s="425"/>
      <c r="J88" s="425"/>
      <c r="K88" s="425"/>
      <c r="L88" s="421"/>
      <c r="M88" s="421"/>
      <c r="N88" s="508"/>
      <c r="O88" s="509">
        <f>SUM(O26:O87)</f>
        <v>640093230.76923072</v>
      </c>
      <c r="P88" s="421"/>
    </row>
    <row r="89" spans="1:16" ht="16.5" thickBot="1">
      <c r="A89" s="421"/>
      <c r="B89" s="510" t="s">
        <v>498</v>
      </c>
      <c r="C89" s="511"/>
      <c r="D89" s="511"/>
      <c r="E89" s="511"/>
      <c r="F89" s="511"/>
      <c r="G89" s="511"/>
      <c r="H89" s="511"/>
      <c r="I89" s="511"/>
      <c r="J89" s="511"/>
      <c r="K89" s="512"/>
      <c r="L89" s="466" t="s">
        <v>499</v>
      </c>
      <c r="M89" s="421"/>
      <c r="N89" s="508"/>
      <c r="O89" s="513">
        <f>+'R14 AT2023'!R26</f>
        <v>640093230.76923084</v>
      </c>
      <c r="P89" s="421"/>
    </row>
    <row r="90" spans="1:16">
      <c r="A90" s="421"/>
      <c r="B90" s="514" t="s">
        <v>500</v>
      </c>
      <c r="C90" s="515"/>
      <c r="D90" s="466" t="s">
        <v>501</v>
      </c>
      <c r="E90" s="466" t="s">
        <v>502</v>
      </c>
      <c r="F90" s="466" t="s">
        <v>503</v>
      </c>
      <c r="G90" s="466" t="s">
        <v>504</v>
      </c>
      <c r="H90" s="466" t="s">
        <v>505</v>
      </c>
      <c r="I90" s="466" t="s">
        <v>506</v>
      </c>
      <c r="J90" s="466" t="s">
        <v>507</v>
      </c>
      <c r="K90" s="466" t="s">
        <v>508</v>
      </c>
      <c r="L90" s="470"/>
      <c r="M90" s="421"/>
      <c r="N90" s="423"/>
      <c r="O90" s="516"/>
      <c r="P90" s="421"/>
    </row>
    <row r="91" spans="1:16" ht="16.5" thickBot="1">
      <c r="A91" s="421"/>
      <c r="B91" s="517"/>
      <c r="C91" s="518"/>
      <c r="D91" s="519"/>
      <c r="E91" s="519"/>
      <c r="F91" s="519"/>
      <c r="G91" s="519"/>
      <c r="H91" s="519"/>
      <c r="I91" s="519"/>
      <c r="J91" s="519"/>
      <c r="K91" s="519" t="s">
        <v>509</v>
      </c>
      <c r="L91" s="470"/>
      <c r="M91" s="421"/>
      <c r="N91" s="423"/>
      <c r="O91" s="424"/>
      <c r="P91" s="421"/>
    </row>
    <row r="92" spans="1:16" ht="16.5" thickBot="1">
      <c r="A92" s="421"/>
      <c r="B92" s="476"/>
      <c r="C92" s="476">
        <f t="shared" ref="C92:J92" si="2">+F87</f>
        <v>4297445413.4761906</v>
      </c>
      <c r="D92" s="476">
        <f t="shared" si="2"/>
        <v>4297445413.4761906</v>
      </c>
      <c r="E92" s="476">
        <f t="shared" si="2"/>
        <v>1944506013.4761906</v>
      </c>
      <c r="F92" s="476">
        <f t="shared" si="2"/>
        <v>1944506013.4761906</v>
      </c>
      <c r="G92" s="476">
        <f t="shared" si="2"/>
        <v>1451335800</v>
      </c>
      <c r="H92" s="476">
        <f t="shared" si="2"/>
        <v>943503013.47619045</v>
      </c>
      <c r="I92" s="476">
        <f t="shared" si="2"/>
        <v>493170213.47619045</v>
      </c>
      <c r="J92" s="476">
        <f t="shared" si="2"/>
        <v>1001003000</v>
      </c>
      <c r="K92" s="476">
        <f>+J92-I92</f>
        <v>507832786.52380955</v>
      </c>
      <c r="L92" s="520">
        <v>15</v>
      </c>
      <c r="M92" s="421"/>
      <c r="N92" s="423"/>
      <c r="O92" s="424"/>
      <c r="P92" s="421"/>
    </row>
    <row r="93" spans="1:16">
      <c r="A93" s="421"/>
      <c r="B93" s="521" t="s">
        <v>510</v>
      </c>
      <c r="C93" s="425"/>
      <c r="D93" s="425"/>
      <c r="E93" s="425"/>
      <c r="F93" s="425"/>
      <c r="G93" s="425"/>
      <c r="H93" s="425"/>
      <c r="I93" s="425"/>
      <c r="J93" s="425"/>
      <c r="K93" s="425"/>
      <c r="L93" s="421"/>
      <c r="M93" s="421"/>
      <c r="N93" s="423"/>
      <c r="O93" s="424"/>
      <c r="P93" s="421"/>
    </row>
    <row r="94" spans="1:16" ht="16.5" thickBot="1">
      <c r="A94" s="421"/>
      <c r="B94" s="522"/>
      <c r="C94" s="425"/>
      <c r="D94" s="425"/>
      <c r="E94" s="425"/>
      <c r="F94" s="425"/>
      <c r="G94" s="425"/>
      <c r="H94" s="425"/>
      <c r="I94" s="425"/>
      <c r="J94" s="425"/>
      <c r="K94" s="425"/>
      <c r="L94" s="421"/>
      <c r="M94" s="421"/>
      <c r="N94" s="423"/>
      <c r="O94" s="424"/>
      <c r="P94" s="421"/>
    </row>
    <row r="95" spans="1:16" ht="16.5" thickBot="1">
      <c r="A95" s="421"/>
      <c r="B95" s="523" t="s">
        <v>511</v>
      </c>
      <c r="C95" s="524"/>
      <c r="D95" s="425"/>
      <c r="E95" s="425"/>
      <c r="F95" s="425"/>
      <c r="G95" s="425"/>
      <c r="H95" s="425"/>
      <c r="I95" s="425"/>
      <c r="J95" s="425"/>
      <c r="K95" s="425"/>
      <c r="L95" s="421"/>
      <c r="M95" s="421"/>
      <c r="N95" s="423"/>
      <c r="O95" s="424"/>
      <c r="P95" s="421"/>
    </row>
    <row r="96" spans="1:16" ht="16.5" thickBot="1">
      <c r="A96" s="421"/>
      <c r="B96" s="525"/>
      <c r="C96" s="526"/>
      <c r="D96" s="425"/>
      <c r="E96" s="425"/>
      <c r="F96" s="425"/>
      <c r="G96" s="425"/>
      <c r="H96" s="425"/>
      <c r="I96" s="425"/>
      <c r="J96" s="425"/>
      <c r="K96" s="425"/>
      <c r="L96" s="421"/>
      <c r="M96" s="421"/>
      <c r="N96" s="423"/>
      <c r="O96" s="424"/>
      <c r="P96" s="421"/>
    </row>
    <row r="97" spans="2:11">
      <c r="B97" s="4"/>
      <c r="C97" s="4"/>
      <c r="D97" s="4"/>
      <c r="E97" s="4"/>
      <c r="F97" s="4"/>
      <c r="G97" s="4"/>
      <c r="H97" s="4"/>
      <c r="I97" s="4"/>
      <c r="J97" s="4"/>
      <c r="K97" s="4"/>
    </row>
    <row r="98" spans="2:11">
      <c r="B98" s="4"/>
      <c r="C98" s="4"/>
      <c r="D98" s="4"/>
      <c r="E98" s="4"/>
      <c r="F98" s="4"/>
      <c r="G98" s="4"/>
      <c r="H98" s="4"/>
      <c r="I98" s="4"/>
      <c r="J98" s="4"/>
      <c r="K98" s="4"/>
    </row>
    <row r="99" spans="2:11"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2:11"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2:11"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 spans="2:11"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 spans="2:11"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 spans="2:11"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2:11"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 spans="2:11"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 spans="2:11"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 spans="2:11"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 spans="2:11"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2:11"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 spans="2:11"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 spans="2:11"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 spans="2:11"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2:11"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 spans="2:11"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 spans="2:11"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 spans="2:11"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 spans="2:11"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 spans="2:11"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 spans="2:11"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2:11"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 spans="2:11"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 spans="2:11"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2:11"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2:11"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2:11"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2:11"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2:11"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2:11"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2:11"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2:11"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2:11"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 spans="2:11"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 spans="2:11"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 spans="2:11"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2:11"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2:11"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2:11"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2:11"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2:11"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2:11"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2:11"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2:11"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2:11"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2:11"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2:11"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2:11"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2:11"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2:11"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2:11"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2:11"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2:11"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 spans="2:11"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2:11"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2:11"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2:11"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2:11"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2:11"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2:11"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2:11"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2:11"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2:11"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2:11"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2:11"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2:11"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 spans="2:11"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2:11"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2:11"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2:11"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2:11"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2:11"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 spans="2:11"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 spans="2:11"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 spans="2:11"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2:11"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2:11"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2:11"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2:11"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2:11"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2:11"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2:11"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2:11"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2:11"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2:11"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 spans="2:11"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 spans="2:11"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2:11"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2:11"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2:11"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2:11"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 spans="2:11"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 spans="2:11"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 spans="2:11"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 spans="2:11"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2:11"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2:11"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2:11"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 spans="2:11"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 spans="2:11"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 spans="2:11"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 spans="2:11"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 spans="2:11"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 spans="2:11"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 spans="2:11"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 spans="2:11"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 spans="2:11"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 spans="2:11"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 spans="2:11"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 spans="2:11"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 spans="2:11"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 spans="2:11"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 spans="2:11"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 spans="2:11"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 spans="2:11"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 spans="2:11"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 spans="2:11"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 spans="2:11"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 spans="2:11"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 spans="2:11"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 spans="2:11"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 spans="2:11"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 spans="2:11"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 spans="2:11"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 spans="2:11"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 spans="2:11"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 spans="2:11"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 spans="2:11"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 spans="2:11"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 spans="2:11"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 spans="2:11"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 spans="2:11"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 spans="2:11"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 spans="2:11"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 spans="2:11"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 spans="2:11"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 spans="2:11"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 spans="2:11"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 spans="2:11"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 spans="2:11"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 spans="2:11"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 spans="2:11"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 spans="2:11"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 spans="2:11"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 spans="2:11"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 spans="2:11"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 spans="2:11"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 spans="2:11"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 spans="2:11"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 spans="2:11"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 spans="2:11"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 spans="2:11"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 spans="2:11"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 spans="2:11"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 spans="2:11"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 spans="2:11"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 spans="2:11"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 spans="2:11"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 spans="2:11"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 spans="2:11"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 spans="2:11"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 spans="2:11"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 spans="2:11"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 spans="2:11"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 spans="2:11"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 spans="2:11"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 spans="2:11">
      <c r="B266" s="4"/>
      <c r="C266" s="4"/>
      <c r="D266" s="4"/>
      <c r="E266" s="4"/>
      <c r="F266" s="4"/>
      <c r="G266" s="4"/>
      <c r="H266" s="4"/>
      <c r="I266" s="4"/>
      <c r="J266" s="4"/>
      <c r="K266" s="4"/>
    </row>
  </sheetData>
  <mergeCells count="44">
    <mergeCell ref="J90:J91"/>
    <mergeCell ref="K90:K91"/>
    <mergeCell ref="B95:C95"/>
    <mergeCell ref="B96:C96"/>
    <mergeCell ref="O24:O25"/>
    <mergeCell ref="B89:K89"/>
    <mergeCell ref="L89:L91"/>
    <mergeCell ref="B90:C91"/>
    <mergeCell ref="D90:D91"/>
    <mergeCell ref="E90:E91"/>
    <mergeCell ref="F90:F91"/>
    <mergeCell ref="G90:G91"/>
    <mergeCell ref="H90:H91"/>
    <mergeCell ref="I90:I91"/>
    <mergeCell ref="I24:I25"/>
    <mergeCell ref="J24:J25"/>
    <mergeCell ref="K24:K25"/>
    <mergeCell ref="L24:L25"/>
    <mergeCell ref="M24:M25"/>
    <mergeCell ref="N24:N25"/>
    <mergeCell ref="B19:D19"/>
    <mergeCell ref="E19:F19"/>
    <mergeCell ref="G19:H19"/>
    <mergeCell ref="B24:B25"/>
    <mergeCell ref="C24:C25"/>
    <mergeCell ref="D24:D25"/>
    <mergeCell ref="E24:E25"/>
    <mergeCell ref="F24:F25"/>
    <mergeCell ref="G24:G25"/>
    <mergeCell ref="H24:H25"/>
    <mergeCell ref="B11:F11"/>
    <mergeCell ref="H11:I11"/>
    <mergeCell ref="B12:G12"/>
    <mergeCell ref="B13:F13"/>
    <mergeCell ref="B17:D18"/>
    <mergeCell ref="E17:F18"/>
    <mergeCell ref="G17:H18"/>
    <mergeCell ref="I17:J17"/>
    <mergeCell ref="B8:D8"/>
    <mergeCell ref="E8:I8"/>
    <mergeCell ref="B9:D9"/>
    <mergeCell ref="E9:I9"/>
    <mergeCell ref="B10:G10"/>
    <mergeCell ref="H10:I10"/>
  </mergeCells>
  <pageMargins left="0.7" right="0.7" top="0.75" bottom="0.75" header="0.3" footer="0.3"/>
  <pageSetup orientation="portrait" horizontalDpi="4294967294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opLeftCell="A7" zoomScale="95" zoomScaleNormal="95" workbookViewId="0">
      <selection activeCell="F14" sqref="F14:F23"/>
    </sheetView>
  </sheetViews>
  <sheetFormatPr baseColWidth="10" defaultColWidth="12.5703125" defaultRowHeight="12.75" outlineLevelRow="1"/>
  <cols>
    <col min="1" max="2" width="12.5703125" style="127" customWidth="1"/>
    <col min="3" max="3" width="22.42578125" style="127" customWidth="1"/>
    <col min="4" max="4" width="22.5703125" style="127" customWidth="1"/>
    <col min="5" max="5" width="14.28515625" style="127" bestFit="1" customWidth="1"/>
    <col min="6" max="6" width="13.42578125" style="127" bestFit="1" customWidth="1"/>
    <col min="7" max="7" width="15.28515625" style="127" bestFit="1" customWidth="1"/>
    <col min="8" max="256" width="12.5703125" style="127"/>
    <col min="257" max="258" width="12.5703125" style="127" customWidth="1"/>
    <col min="259" max="259" width="22.42578125" style="127" customWidth="1"/>
    <col min="260" max="260" width="22.5703125" style="127" customWidth="1"/>
    <col min="261" max="261" width="14.28515625" style="127" bestFit="1" customWidth="1"/>
    <col min="262" max="262" width="13.42578125" style="127" bestFit="1" customWidth="1"/>
    <col min="263" max="263" width="15.28515625" style="127" bestFit="1" customWidth="1"/>
    <col min="264" max="512" width="12.5703125" style="127"/>
    <col min="513" max="514" width="12.5703125" style="127" customWidth="1"/>
    <col min="515" max="515" width="22.42578125" style="127" customWidth="1"/>
    <col min="516" max="516" width="22.5703125" style="127" customWidth="1"/>
    <col min="517" max="517" width="14.28515625" style="127" bestFit="1" customWidth="1"/>
    <col min="518" max="518" width="13.42578125" style="127" bestFit="1" customWidth="1"/>
    <col min="519" max="519" width="15.28515625" style="127" bestFit="1" customWidth="1"/>
    <col min="520" max="768" width="12.5703125" style="127"/>
    <col min="769" max="770" width="12.5703125" style="127" customWidth="1"/>
    <col min="771" max="771" width="22.42578125" style="127" customWidth="1"/>
    <col min="772" max="772" width="22.5703125" style="127" customWidth="1"/>
    <col min="773" max="773" width="14.28515625" style="127" bestFit="1" customWidth="1"/>
    <col min="774" max="774" width="13.42578125" style="127" bestFit="1" customWidth="1"/>
    <col min="775" max="775" width="15.28515625" style="127" bestFit="1" customWidth="1"/>
    <col min="776" max="1024" width="12.5703125" style="127"/>
    <col min="1025" max="1026" width="12.5703125" style="127" customWidth="1"/>
    <col min="1027" max="1027" width="22.42578125" style="127" customWidth="1"/>
    <col min="1028" max="1028" width="22.5703125" style="127" customWidth="1"/>
    <col min="1029" max="1029" width="14.28515625" style="127" bestFit="1" customWidth="1"/>
    <col min="1030" max="1030" width="13.42578125" style="127" bestFit="1" customWidth="1"/>
    <col min="1031" max="1031" width="15.28515625" style="127" bestFit="1" customWidth="1"/>
    <col min="1032" max="1280" width="12.5703125" style="127"/>
    <col min="1281" max="1282" width="12.5703125" style="127" customWidth="1"/>
    <col min="1283" max="1283" width="22.42578125" style="127" customWidth="1"/>
    <col min="1284" max="1284" width="22.5703125" style="127" customWidth="1"/>
    <col min="1285" max="1285" width="14.28515625" style="127" bestFit="1" customWidth="1"/>
    <col min="1286" max="1286" width="13.42578125" style="127" bestFit="1" customWidth="1"/>
    <col min="1287" max="1287" width="15.28515625" style="127" bestFit="1" customWidth="1"/>
    <col min="1288" max="1536" width="12.5703125" style="127"/>
    <col min="1537" max="1538" width="12.5703125" style="127" customWidth="1"/>
    <col min="1539" max="1539" width="22.42578125" style="127" customWidth="1"/>
    <col min="1540" max="1540" width="22.5703125" style="127" customWidth="1"/>
    <col min="1541" max="1541" width="14.28515625" style="127" bestFit="1" customWidth="1"/>
    <col min="1542" max="1542" width="13.42578125" style="127" bestFit="1" customWidth="1"/>
    <col min="1543" max="1543" width="15.28515625" style="127" bestFit="1" customWidth="1"/>
    <col min="1544" max="1792" width="12.5703125" style="127"/>
    <col min="1793" max="1794" width="12.5703125" style="127" customWidth="1"/>
    <col min="1795" max="1795" width="22.42578125" style="127" customWidth="1"/>
    <col min="1796" max="1796" width="22.5703125" style="127" customWidth="1"/>
    <col min="1797" max="1797" width="14.28515625" style="127" bestFit="1" customWidth="1"/>
    <col min="1798" max="1798" width="13.42578125" style="127" bestFit="1" customWidth="1"/>
    <col min="1799" max="1799" width="15.28515625" style="127" bestFit="1" customWidth="1"/>
    <col min="1800" max="2048" width="12.5703125" style="127"/>
    <col min="2049" max="2050" width="12.5703125" style="127" customWidth="1"/>
    <col min="2051" max="2051" width="22.42578125" style="127" customWidth="1"/>
    <col min="2052" max="2052" width="22.5703125" style="127" customWidth="1"/>
    <col min="2053" max="2053" width="14.28515625" style="127" bestFit="1" customWidth="1"/>
    <col min="2054" max="2054" width="13.42578125" style="127" bestFit="1" customWidth="1"/>
    <col min="2055" max="2055" width="15.28515625" style="127" bestFit="1" customWidth="1"/>
    <col min="2056" max="2304" width="12.5703125" style="127"/>
    <col min="2305" max="2306" width="12.5703125" style="127" customWidth="1"/>
    <col min="2307" max="2307" width="22.42578125" style="127" customWidth="1"/>
    <col min="2308" max="2308" width="22.5703125" style="127" customWidth="1"/>
    <col min="2309" max="2309" width="14.28515625" style="127" bestFit="1" customWidth="1"/>
    <col min="2310" max="2310" width="13.42578125" style="127" bestFit="1" customWidth="1"/>
    <col min="2311" max="2311" width="15.28515625" style="127" bestFit="1" customWidth="1"/>
    <col min="2312" max="2560" width="12.5703125" style="127"/>
    <col min="2561" max="2562" width="12.5703125" style="127" customWidth="1"/>
    <col min="2563" max="2563" width="22.42578125" style="127" customWidth="1"/>
    <col min="2564" max="2564" width="22.5703125" style="127" customWidth="1"/>
    <col min="2565" max="2565" width="14.28515625" style="127" bestFit="1" customWidth="1"/>
    <col min="2566" max="2566" width="13.42578125" style="127" bestFit="1" customWidth="1"/>
    <col min="2567" max="2567" width="15.28515625" style="127" bestFit="1" customWidth="1"/>
    <col min="2568" max="2816" width="12.5703125" style="127"/>
    <col min="2817" max="2818" width="12.5703125" style="127" customWidth="1"/>
    <col min="2819" max="2819" width="22.42578125" style="127" customWidth="1"/>
    <col min="2820" max="2820" width="22.5703125" style="127" customWidth="1"/>
    <col min="2821" max="2821" width="14.28515625" style="127" bestFit="1" customWidth="1"/>
    <col min="2822" max="2822" width="13.42578125" style="127" bestFit="1" customWidth="1"/>
    <col min="2823" max="2823" width="15.28515625" style="127" bestFit="1" customWidth="1"/>
    <col min="2824" max="3072" width="12.5703125" style="127"/>
    <col min="3073" max="3074" width="12.5703125" style="127" customWidth="1"/>
    <col min="3075" max="3075" width="22.42578125" style="127" customWidth="1"/>
    <col min="3076" max="3076" width="22.5703125" style="127" customWidth="1"/>
    <col min="3077" max="3077" width="14.28515625" style="127" bestFit="1" customWidth="1"/>
    <col min="3078" max="3078" width="13.42578125" style="127" bestFit="1" customWidth="1"/>
    <col min="3079" max="3079" width="15.28515625" style="127" bestFit="1" customWidth="1"/>
    <col min="3080" max="3328" width="12.5703125" style="127"/>
    <col min="3329" max="3330" width="12.5703125" style="127" customWidth="1"/>
    <col min="3331" max="3331" width="22.42578125" style="127" customWidth="1"/>
    <col min="3332" max="3332" width="22.5703125" style="127" customWidth="1"/>
    <col min="3333" max="3333" width="14.28515625" style="127" bestFit="1" customWidth="1"/>
    <col min="3334" max="3334" width="13.42578125" style="127" bestFit="1" customWidth="1"/>
    <col min="3335" max="3335" width="15.28515625" style="127" bestFit="1" customWidth="1"/>
    <col min="3336" max="3584" width="12.5703125" style="127"/>
    <col min="3585" max="3586" width="12.5703125" style="127" customWidth="1"/>
    <col min="3587" max="3587" width="22.42578125" style="127" customWidth="1"/>
    <col min="3588" max="3588" width="22.5703125" style="127" customWidth="1"/>
    <col min="3589" max="3589" width="14.28515625" style="127" bestFit="1" customWidth="1"/>
    <col min="3590" max="3590" width="13.42578125" style="127" bestFit="1" customWidth="1"/>
    <col min="3591" max="3591" width="15.28515625" style="127" bestFit="1" customWidth="1"/>
    <col min="3592" max="3840" width="12.5703125" style="127"/>
    <col min="3841" max="3842" width="12.5703125" style="127" customWidth="1"/>
    <col min="3843" max="3843" width="22.42578125" style="127" customWidth="1"/>
    <col min="3844" max="3844" width="22.5703125" style="127" customWidth="1"/>
    <col min="3845" max="3845" width="14.28515625" style="127" bestFit="1" customWidth="1"/>
    <col min="3846" max="3846" width="13.42578125" style="127" bestFit="1" customWidth="1"/>
    <col min="3847" max="3847" width="15.28515625" style="127" bestFit="1" customWidth="1"/>
    <col min="3848" max="4096" width="12.5703125" style="127"/>
    <col min="4097" max="4098" width="12.5703125" style="127" customWidth="1"/>
    <col min="4099" max="4099" width="22.42578125" style="127" customWidth="1"/>
    <col min="4100" max="4100" width="22.5703125" style="127" customWidth="1"/>
    <col min="4101" max="4101" width="14.28515625" style="127" bestFit="1" customWidth="1"/>
    <col min="4102" max="4102" width="13.42578125" style="127" bestFit="1" customWidth="1"/>
    <col min="4103" max="4103" width="15.28515625" style="127" bestFit="1" customWidth="1"/>
    <col min="4104" max="4352" width="12.5703125" style="127"/>
    <col min="4353" max="4354" width="12.5703125" style="127" customWidth="1"/>
    <col min="4355" max="4355" width="22.42578125" style="127" customWidth="1"/>
    <col min="4356" max="4356" width="22.5703125" style="127" customWidth="1"/>
    <col min="4357" max="4357" width="14.28515625" style="127" bestFit="1" customWidth="1"/>
    <col min="4358" max="4358" width="13.42578125" style="127" bestFit="1" customWidth="1"/>
    <col min="4359" max="4359" width="15.28515625" style="127" bestFit="1" customWidth="1"/>
    <col min="4360" max="4608" width="12.5703125" style="127"/>
    <col min="4609" max="4610" width="12.5703125" style="127" customWidth="1"/>
    <col min="4611" max="4611" width="22.42578125" style="127" customWidth="1"/>
    <col min="4612" max="4612" width="22.5703125" style="127" customWidth="1"/>
    <col min="4613" max="4613" width="14.28515625" style="127" bestFit="1" customWidth="1"/>
    <col min="4614" max="4614" width="13.42578125" style="127" bestFit="1" customWidth="1"/>
    <col min="4615" max="4615" width="15.28515625" style="127" bestFit="1" customWidth="1"/>
    <col min="4616" max="4864" width="12.5703125" style="127"/>
    <col min="4865" max="4866" width="12.5703125" style="127" customWidth="1"/>
    <col min="4867" max="4867" width="22.42578125" style="127" customWidth="1"/>
    <col min="4868" max="4868" width="22.5703125" style="127" customWidth="1"/>
    <col min="4869" max="4869" width="14.28515625" style="127" bestFit="1" customWidth="1"/>
    <col min="4870" max="4870" width="13.42578125" style="127" bestFit="1" customWidth="1"/>
    <col min="4871" max="4871" width="15.28515625" style="127" bestFit="1" customWidth="1"/>
    <col min="4872" max="5120" width="12.5703125" style="127"/>
    <col min="5121" max="5122" width="12.5703125" style="127" customWidth="1"/>
    <col min="5123" max="5123" width="22.42578125" style="127" customWidth="1"/>
    <col min="5124" max="5124" width="22.5703125" style="127" customWidth="1"/>
    <col min="5125" max="5125" width="14.28515625" style="127" bestFit="1" customWidth="1"/>
    <col min="5126" max="5126" width="13.42578125" style="127" bestFit="1" customWidth="1"/>
    <col min="5127" max="5127" width="15.28515625" style="127" bestFit="1" customWidth="1"/>
    <col min="5128" max="5376" width="12.5703125" style="127"/>
    <col min="5377" max="5378" width="12.5703125" style="127" customWidth="1"/>
    <col min="5379" max="5379" width="22.42578125" style="127" customWidth="1"/>
    <col min="5380" max="5380" width="22.5703125" style="127" customWidth="1"/>
    <col min="5381" max="5381" width="14.28515625" style="127" bestFit="1" customWidth="1"/>
    <col min="5382" max="5382" width="13.42578125" style="127" bestFit="1" customWidth="1"/>
    <col min="5383" max="5383" width="15.28515625" style="127" bestFit="1" customWidth="1"/>
    <col min="5384" max="5632" width="12.5703125" style="127"/>
    <col min="5633" max="5634" width="12.5703125" style="127" customWidth="1"/>
    <col min="5635" max="5635" width="22.42578125" style="127" customWidth="1"/>
    <col min="5636" max="5636" width="22.5703125" style="127" customWidth="1"/>
    <col min="5637" max="5637" width="14.28515625" style="127" bestFit="1" customWidth="1"/>
    <col min="5638" max="5638" width="13.42578125" style="127" bestFit="1" customWidth="1"/>
    <col min="5639" max="5639" width="15.28515625" style="127" bestFit="1" customWidth="1"/>
    <col min="5640" max="5888" width="12.5703125" style="127"/>
    <col min="5889" max="5890" width="12.5703125" style="127" customWidth="1"/>
    <col min="5891" max="5891" width="22.42578125" style="127" customWidth="1"/>
    <col min="5892" max="5892" width="22.5703125" style="127" customWidth="1"/>
    <col min="5893" max="5893" width="14.28515625" style="127" bestFit="1" customWidth="1"/>
    <col min="5894" max="5894" width="13.42578125" style="127" bestFit="1" customWidth="1"/>
    <col min="5895" max="5895" width="15.28515625" style="127" bestFit="1" customWidth="1"/>
    <col min="5896" max="6144" width="12.5703125" style="127"/>
    <col min="6145" max="6146" width="12.5703125" style="127" customWidth="1"/>
    <col min="6147" max="6147" width="22.42578125" style="127" customWidth="1"/>
    <col min="6148" max="6148" width="22.5703125" style="127" customWidth="1"/>
    <col min="6149" max="6149" width="14.28515625" style="127" bestFit="1" customWidth="1"/>
    <col min="6150" max="6150" width="13.42578125" style="127" bestFit="1" customWidth="1"/>
    <col min="6151" max="6151" width="15.28515625" style="127" bestFit="1" customWidth="1"/>
    <col min="6152" max="6400" width="12.5703125" style="127"/>
    <col min="6401" max="6402" width="12.5703125" style="127" customWidth="1"/>
    <col min="6403" max="6403" width="22.42578125" style="127" customWidth="1"/>
    <col min="6404" max="6404" width="22.5703125" style="127" customWidth="1"/>
    <col min="6405" max="6405" width="14.28515625" style="127" bestFit="1" customWidth="1"/>
    <col min="6406" max="6406" width="13.42578125" style="127" bestFit="1" customWidth="1"/>
    <col min="6407" max="6407" width="15.28515625" style="127" bestFit="1" customWidth="1"/>
    <col min="6408" max="6656" width="12.5703125" style="127"/>
    <col min="6657" max="6658" width="12.5703125" style="127" customWidth="1"/>
    <col min="6659" max="6659" width="22.42578125" style="127" customWidth="1"/>
    <col min="6660" max="6660" width="22.5703125" style="127" customWidth="1"/>
    <col min="6661" max="6661" width="14.28515625" style="127" bestFit="1" customWidth="1"/>
    <col min="6662" max="6662" width="13.42578125" style="127" bestFit="1" customWidth="1"/>
    <col min="6663" max="6663" width="15.28515625" style="127" bestFit="1" customWidth="1"/>
    <col min="6664" max="6912" width="12.5703125" style="127"/>
    <col min="6913" max="6914" width="12.5703125" style="127" customWidth="1"/>
    <col min="6915" max="6915" width="22.42578125" style="127" customWidth="1"/>
    <col min="6916" max="6916" width="22.5703125" style="127" customWidth="1"/>
    <col min="6917" max="6917" width="14.28515625" style="127" bestFit="1" customWidth="1"/>
    <col min="6918" max="6918" width="13.42578125" style="127" bestFit="1" customWidth="1"/>
    <col min="6919" max="6919" width="15.28515625" style="127" bestFit="1" customWidth="1"/>
    <col min="6920" max="7168" width="12.5703125" style="127"/>
    <col min="7169" max="7170" width="12.5703125" style="127" customWidth="1"/>
    <col min="7171" max="7171" width="22.42578125" style="127" customWidth="1"/>
    <col min="7172" max="7172" width="22.5703125" style="127" customWidth="1"/>
    <col min="7173" max="7173" width="14.28515625" style="127" bestFit="1" customWidth="1"/>
    <col min="7174" max="7174" width="13.42578125" style="127" bestFit="1" customWidth="1"/>
    <col min="7175" max="7175" width="15.28515625" style="127" bestFit="1" customWidth="1"/>
    <col min="7176" max="7424" width="12.5703125" style="127"/>
    <col min="7425" max="7426" width="12.5703125" style="127" customWidth="1"/>
    <col min="7427" max="7427" width="22.42578125" style="127" customWidth="1"/>
    <col min="7428" max="7428" width="22.5703125" style="127" customWidth="1"/>
    <col min="7429" max="7429" width="14.28515625" style="127" bestFit="1" customWidth="1"/>
    <col min="7430" max="7430" width="13.42578125" style="127" bestFit="1" customWidth="1"/>
    <col min="7431" max="7431" width="15.28515625" style="127" bestFit="1" customWidth="1"/>
    <col min="7432" max="7680" width="12.5703125" style="127"/>
    <col min="7681" max="7682" width="12.5703125" style="127" customWidth="1"/>
    <col min="7683" max="7683" width="22.42578125" style="127" customWidth="1"/>
    <col min="7684" max="7684" width="22.5703125" style="127" customWidth="1"/>
    <col min="7685" max="7685" width="14.28515625" style="127" bestFit="1" customWidth="1"/>
    <col min="7686" max="7686" width="13.42578125" style="127" bestFit="1" customWidth="1"/>
    <col min="7687" max="7687" width="15.28515625" style="127" bestFit="1" customWidth="1"/>
    <col min="7688" max="7936" width="12.5703125" style="127"/>
    <col min="7937" max="7938" width="12.5703125" style="127" customWidth="1"/>
    <col min="7939" max="7939" width="22.42578125" style="127" customWidth="1"/>
    <col min="7940" max="7940" width="22.5703125" style="127" customWidth="1"/>
    <col min="7941" max="7941" width="14.28515625" style="127" bestFit="1" customWidth="1"/>
    <col min="7942" max="7942" width="13.42578125" style="127" bestFit="1" customWidth="1"/>
    <col min="7943" max="7943" width="15.28515625" style="127" bestFit="1" customWidth="1"/>
    <col min="7944" max="8192" width="12.5703125" style="127"/>
    <col min="8193" max="8194" width="12.5703125" style="127" customWidth="1"/>
    <col min="8195" max="8195" width="22.42578125" style="127" customWidth="1"/>
    <col min="8196" max="8196" width="22.5703125" style="127" customWidth="1"/>
    <col min="8197" max="8197" width="14.28515625" style="127" bestFit="1" customWidth="1"/>
    <col min="8198" max="8198" width="13.42578125" style="127" bestFit="1" customWidth="1"/>
    <col min="8199" max="8199" width="15.28515625" style="127" bestFit="1" customWidth="1"/>
    <col min="8200" max="8448" width="12.5703125" style="127"/>
    <col min="8449" max="8450" width="12.5703125" style="127" customWidth="1"/>
    <col min="8451" max="8451" width="22.42578125" style="127" customWidth="1"/>
    <col min="8452" max="8452" width="22.5703125" style="127" customWidth="1"/>
    <col min="8453" max="8453" width="14.28515625" style="127" bestFit="1" customWidth="1"/>
    <col min="8454" max="8454" width="13.42578125" style="127" bestFit="1" customWidth="1"/>
    <col min="8455" max="8455" width="15.28515625" style="127" bestFit="1" customWidth="1"/>
    <col min="8456" max="8704" width="12.5703125" style="127"/>
    <col min="8705" max="8706" width="12.5703125" style="127" customWidth="1"/>
    <col min="8707" max="8707" width="22.42578125" style="127" customWidth="1"/>
    <col min="8708" max="8708" width="22.5703125" style="127" customWidth="1"/>
    <col min="8709" max="8709" width="14.28515625" style="127" bestFit="1" customWidth="1"/>
    <col min="8710" max="8710" width="13.42578125" style="127" bestFit="1" customWidth="1"/>
    <col min="8711" max="8711" width="15.28515625" style="127" bestFit="1" customWidth="1"/>
    <col min="8712" max="8960" width="12.5703125" style="127"/>
    <col min="8961" max="8962" width="12.5703125" style="127" customWidth="1"/>
    <col min="8963" max="8963" width="22.42578125" style="127" customWidth="1"/>
    <col min="8964" max="8964" width="22.5703125" style="127" customWidth="1"/>
    <col min="8965" max="8965" width="14.28515625" style="127" bestFit="1" customWidth="1"/>
    <col min="8966" max="8966" width="13.42578125" style="127" bestFit="1" customWidth="1"/>
    <col min="8967" max="8967" width="15.28515625" style="127" bestFit="1" customWidth="1"/>
    <col min="8968" max="9216" width="12.5703125" style="127"/>
    <col min="9217" max="9218" width="12.5703125" style="127" customWidth="1"/>
    <col min="9219" max="9219" width="22.42578125" style="127" customWidth="1"/>
    <col min="9220" max="9220" width="22.5703125" style="127" customWidth="1"/>
    <col min="9221" max="9221" width="14.28515625" style="127" bestFit="1" customWidth="1"/>
    <col min="9222" max="9222" width="13.42578125" style="127" bestFit="1" customWidth="1"/>
    <col min="9223" max="9223" width="15.28515625" style="127" bestFit="1" customWidth="1"/>
    <col min="9224" max="9472" width="12.5703125" style="127"/>
    <col min="9473" max="9474" width="12.5703125" style="127" customWidth="1"/>
    <col min="9475" max="9475" width="22.42578125" style="127" customWidth="1"/>
    <col min="9476" max="9476" width="22.5703125" style="127" customWidth="1"/>
    <col min="9477" max="9477" width="14.28515625" style="127" bestFit="1" customWidth="1"/>
    <col min="9478" max="9478" width="13.42578125" style="127" bestFit="1" customWidth="1"/>
    <col min="9479" max="9479" width="15.28515625" style="127" bestFit="1" customWidth="1"/>
    <col min="9480" max="9728" width="12.5703125" style="127"/>
    <col min="9729" max="9730" width="12.5703125" style="127" customWidth="1"/>
    <col min="9731" max="9731" width="22.42578125" style="127" customWidth="1"/>
    <col min="9732" max="9732" width="22.5703125" style="127" customWidth="1"/>
    <col min="9733" max="9733" width="14.28515625" style="127" bestFit="1" customWidth="1"/>
    <col min="9734" max="9734" width="13.42578125" style="127" bestFit="1" customWidth="1"/>
    <col min="9735" max="9735" width="15.28515625" style="127" bestFit="1" customWidth="1"/>
    <col min="9736" max="9984" width="12.5703125" style="127"/>
    <col min="9985" max="9986" width="12.5703125" style="127" customWidth="1"/>
    <col min="9987" max="9987" width="22.42578125" style="127" customWidth="1"/>
    <col min="9988" max="9988" width="22.5703125" style="127" customWidth="1"/>
    <col min="9989" max="9989" width="14.28515625" style="127" bestFit="1" customWidth="1"/>
    <col min="9990" max="9990" width="13.42578125" style="127" bestFit="1" customWidth="1"/>
    <col min="9991" max="9991" width="15.28515625" style="127" bestFit="1" customWidth="1"/>
    <col min="9992" max="10240" width="12.5703125" style="127"/>
    <col min="10241" max="10242" width="12.5703125" style="127" customWidth="1"/>
    <col min="10243" max="10243" width="22.42578125" style="127" customWidth="1"/>
    <col min="10244" max="10244" width="22.5703125" style="127" customWidth="1"/>
    <col min="10245" max="10245" width="14.28515625" style="127" bestFit="1" customWidth="1"/>
    <col min="10246" max="10246" width="13.42578125" style="127" bestFit="1" customWidth="1"/>
    <col min="10247" max="10247" width="15.28515625" style="127" bestFit="1" customWidth="1"/>
    <col min="10248" max="10496" width="12.5703125" style="127"/>
    <col min="10497" max="10498" width="12.5703125" style="127" customWidth="1"/>
    <col min="10499" max="10499" width="22.42578125" style="127" customWidth="1"/>
    <col min="10500" max="10500" width="22.5703125" style="127" customWidth="1"/>
    <col min="10501" max="10501" width="14.28515625" style="127" bestFit="1" customWidth="1"/>
    <col min="10502" max="10502" width="13.42578125" style="127" bestFit="1" customWidth="1"/>
    <col min="10503" max="10503" width="15.28515625" style="127" bestFit="1" customWidth="1"/>
    <col min="10504" max="10752" width="12.5703125" style="127"/>
    <col min="10753" max="10754" width="12.5703125" style="127" customWidth="1"/>
    <col min="10755" max="10755" width="22.42578125" style="127" customWidth="1"/>
    <col min="10756" max="10756" width="22.5703125" style="127" customWidth="1"/>
    <col min="10757" max="10757" width="14.28515625" style="127" bestFit="1" customWidth="1"/>
    <col min="10758" max="10758" width="13.42578125" style="127" bestFit="1" customWidth="1"/>
    <col min="10759" max="10759" width="15.28515625" style="127" bestFit="1" customWidth="1"/>
    <col min="10760" max="11008" width="12.5703125" style="127"/>
    <col min="11009" max="11010" width="12.5703125" style="127" customWidth="1"/>
    <col min="11011" max="11011" width="22.42578125" style="127" customWidth="1"/>
    <col min="11012" max="11012" width="22.5703125" style="127" customWidth="1"/>
    <col min="11013" max="11013" width="14.28515625" style="127" bestFit="1" customWidth="1"/>
    <col min="11014" max="11014" width="13.42578125" style="127" bestFit="1" customWidth="1"/>
    <col min="11015" max="11015" width="15.28515625" style="127" bestFit="1" customWidth="1"/>
    <col min="11016" max="11264" width="12.5703125" style="127"/>
    <col min="11265" max="11266" width="12.5703125" style="127" customWidth="1"/>
    <col min="11267" max="11267" width="22.42578125" style="127" customWidth="1"/>
    <col min="11268" max="11268" width="22.5703125" style="127" customWidth="1"/>
    <col min="11269" max="11269" width="14.28515625" style="127" bestFit="1" customWidth="1"/>
    <col min="11270" max="11270" width="13.42578125" style="127" bestFit="1" customWidth="1"/>
    <col min="11271" max="11271" width="15.28515625" style="127" bestFit="1" customWidth="1"/>
    <col min="11272" max="11520" width="12.5703125" style="127"/>
    <col min="11521" max="11522" width="12.5703125" style="127" customWidth="1"/>
    <col min="11523" max="11523" width="22.42578125" style="127" customWidth="1"/>
    <col min="11524" max="11524" width="22.5703125" style="127" customWidth="1"/>
    <col min="11525" max="11525" width="14.28515625" style="127" bestFit="1" customWidth="1"/>
    <col min="11526" max="11526" width="13.42578125" style="127" bestFit="1" customWidth="1"/>
    <col min="11527" max="11527" width="15.28515625" style="127" bestFit="1" customWidth="1"/>
    <col min="11528" max="11776" width="12.5703125" style="127"/>
    <col min="11777" max="11778" width="12.5703125" style="127" customWidth="1"/>
    <col min="11779" max="11779" width="22.42578125" style="127" customWidth="1"/>
    <col min="11780" max="11780" width="22.5703125" style="127" customWidth="1"/>
    <col min="11781" max="11781" width="14.28515625" style="127" bestFit="1" customWidth="1"/>
    <col min="11782" max="11782" width="13.42578125" style="127" bestFit="1" customWidth="1"/>
    <col min="11783" max="11783" width="15.28515625" style="127" bestFit="1" customWidth="1"/>
    <col min="11784" max="12032" width="12.5703125" style="127"/>
    <col min="12033" max="12034" width="12.5703125" style="127" customWidth="1"/>
    <col min="12035" max="12035" width="22.42578125" style="127" customWidth="1"/>
    <col min="12036" max="12036" width="22.5703125" style="127" customWidth="1"/>
    <col min="12037" max="12037" width="14.28515625" style="127" bestFit="1" customWidth="1"/>
    <col min="12038" max="12038" width="13.42578125" style="127" bestFit="1" customWidth="1"/>
    <col min="12039" max="12039" width="15.28515625" style="127" bestFit="1" customWidth="1"/>
    <col min="12040" max="12288" width="12.5703125" style="127"/>
    <col min="12289" max="12290" width="12.5703125" style="127" customWidth="1"/>
    <col min="12291" max="12291" width="22.42578125" style="127" customWidth="1"/>
    <col min="12292" max="12292" width="22.5703125" style="127" customWidth="1"/>
    <col min="12293" max="12293" width="14.28515625" style="127" bestFit="1" customWidth="1"/>
    <col min="12294" max="12294" width="13.42578125" style="127" bestFit="1" customWidth="1"/>
    <col min="12295" max="12295" width="15.28515625" style="127" bestFit="1" customWidth="1"/>
    <col min="12296" max="12544" width="12.5703125" style="127"/>
    <col min="12545" max="12546" width="12.5703125" style="127" customWidth="1"/>
    <col min="12547" max="12547" width="22.42578125" style="127" customWidth="1"/>
    <col min="12548" max="12548" width="22.5703125" style="127" customWidth="1"/>
    <col min="12549" max="12549" width="14.28515625" style="127" bestFit="1" customWidth="1"/>
    <col min="12550" max="12550" width="13.42578125" style="127" bestFit="1" customWidth="1"/>
    <col min="12551" max="12551" width="15.28515625" style="127" bestFit="1" customWidth="1"/>
    <col min="12552" max="12800" width="12.5703125" style="127"/>
    <col min="12801" max="12802" width="12.5703125" style="127" customWidth="1"/>
    <col min="12803" max="12803" width="22.42578125" style="127" customWidth="1"/>
    <col min="12804" max="12804" width="22.5703125" style="127" customWidth="1"/>
    <col min="12805" max="12805" width="14.28515625" style="127" bestFit="1" customWidth="1"/>
    <col min="12806" max="12806" width="13.42578125" style="127" bestFit="1" customWidth="1"/>
    <col min="12807" max="12807" width="15.28515625" style="127" bestFit="1" customWidth="1"/>
    <col min="12808" max="13056" width="12.5703125" style="127"/>
    <col min="13057" max="13058" width="12.5703125" style="127" customWidth="1"/>
    <col min="13059" max="13059" width="22.42578125" style="127" customWidth="1"/>
    <col min="13060" max="13060" width="22.5703125" style="127" customWidth="1"/>
    <col min="13061" max="13061" width="14.28515625" style="127" bestFit="1" customWidth="1"/>
    <col min="13062" max="13062" width="13.42578125" style="127" bestFit="1" customWidth="1"/>
    <col min="13063" max="13063" width="15.28515625" style="127" bestFit="1" customWidth="1"/>
    <col min="13064" max="13312" width="12.5703125" style="127"/>
    <col min="13313" max="13314" width="12.5703125" style="127" customWidth="1"/>
    <col min="13315" max="13315" width="22.42578125" style="127" customWidth="1"/>
    <col min="13316" max="13316" width="22.5703125" style="127" customWidth="1"/>
    <col min="13317" max="13317" width="14.28515625" style="127" bestFit="1" customWidth="1"/>
    <col min="13318" max="13318" width="13.42578125" style="127" bestFit="1" customWidth="1"/>
    <col min="13319" max="13319" width="15.28515625" style="127" bestFit="1" customWidth="1"/>
    <col min="13320" max="13568" width="12.5703125" style="127"/>
    <col min="13569" max="13570" width="12.5703125" style="127" customWidth="1"/>
    <col min="13571" max="13571" width="22.42578125" style="127" customWidth="1"/>
    <col min="13572" max="13572" width="22.5703125" style="127" customWidth="1"/>
    <col min="13573" max="13573" width="14.28515625" style="127" bestFit="1" customWidth="1"/>
    <col min="13574" max="13574" width="13.42578125" style="127" bestFit="1" customWidth="1"/>
    <col min="13575" max="13575" width="15.28515625" style="127" bestFit="1" customWidth="1"/>
    <col min="13576" max="13824" width="12.5703125" style="127"/>
    <col min="13825" max="13826" width="12.5703125" style="127" customWidth="1"/>
    <col min="13827" max="13827" width="22.42578125" style="127" customWidth="1"/>
    <col min="13828" max="13828" width="22.5703125" style="127" customWidth="1"/>
    <col min="13829" max="13829" width="14.28515625" style="127" bestFit="1" customWidth="1"/>
    <col min="13830" max="13830" width="13.42578125" style="127" bestFit="1" customWidth="1"/>
    <col min="13831" max="13831" width="15.28515625" style="127" bestFit="1" customWidth="1"/>
    <col min="13832" max="14080" width="12.5703125" style="127"/>
    <col min="14081" max="14082" width="12.5703125" style="127" customWidth="1"/>
    <col min="14083" max="14083" width="22.42578125" style="127" customWidth="1"/>
    <col min="14084" max="14084" width="22.5703125" style="127" customWidth="1"/>
    <col min="14085" max="14085" width="14.28515625" style="127" bestFit="1" customWidth="1"/>
    <col min="14086" max="14086" width="13.42578125" style="127" bestFit="1" customWidth="1"/>
    <col min="14087" max="14087" width="15.28515625" style="127" bestFit="1" customWidth="1"/>
    <col min="14088" max="14336" width="12.5703125" style="127"/>
    <col min="14337" max="14338" width="12.5703125" style="127" customWidth="1"/>
    <col min="14339" max="14339" width="22.42578125" style="127" customWidth="1"/>
    <col min="14340" max="14340" width="22.5703125" style="127" customWidth="1"/>
    <col min="14341" max="14341" width="14.28515625" style="127" bestFit="1" customWidth="1"/>
    <col min="14342" max="14342" width="13.42578125" style="127" bestFit="1" customWidth="1"/>
    <col min="14343" max="14343" width="15.28515625" style="127" bestFit="1" customWidth="1"/>
    <col min="14344" max="14592" width="12.5703125" style="127"/>
    <col min="14593" max="14594" width="12.5703125" style="127" customWidth="1"/>
    <col min="14595" max="14595" width="22.42578125" style="127" customWidth="1"/>
    <col min="14596" max="14596" width="22.5703125" style="127" customWidth="1"/>
    <col min="14597" max="14597" width="14.28515625" style="127" bestFit="1" customWidth="1"/>
    <col min="14598" max="14598" width="13.42578125" style="127" bestFit="1" customWidth="1"/>
    <col min="14599" max="14599" width="15.28515625" style="127" bestFit="1" customWidth="1"/>
    <col min="14600" max="14848" width="12.5703125" style="127"/>
    <col min="14849" max="14850" width="12.5703125" style="127" customWidth="1"/>
    <col min="14851" max="14851" width="22.42578125" style="127" customWidth="1"/>
    <col min="14852" max="14852" width="22.5703125" style="127" customWidth="1"/>
    <col min="14853" max="14853" width="14.28515625" style="127" bestFit="1" customWidth="1"/>
    <col min="14854" max="14854" width="13.42578125" style="127" bestFit="1" customWidth="1"/>
    <col min="14855" max="14855" width="15.28515625" style="127" bestFit="1" customWidth="1"/>
    <col min="14856" max="15104" width="12.5703125" style="127"/>
    <col min="15105" max="15106" width="12.5703125" style="127" customWidth="1"/>
    <col min="15107" max="15107" width="22.42578125" style="127" customWidth="1"/>
    <col min="15108" max="15108" width="22.5703125" style="127" customWidth="1"/>
    <col min="15109" max="15109" width="14.28515625" style="127" bestFit="1" customWidth="1"/>
    <col min="15110" max="15110" width="13.42578125" style="127" bestFit="1" customWidth="1"/>
    <col min="15111" max="15111" width="15.28515625" style="127" bestFit="1" customWidth="1"/>
    <col min="15112" max="15360" width="12.5703125" style="127"/>
    <col min="15361" max="15362" width="12.5703125" style="127" customWidth="1"/>
    <col min="15363" max="15363" width="22.42578125" style="127" customWidth="1"/>
    <col min="15364" max="15364" width="22.5703125" style="127" customWidth="1"/>
    <col min="15365" max="15365" width="14.28515625" style="127" bestFit="1" customWidth="1"/>
    <col min="15366" max="15366" width="13.42578125" style="127" bestFit="1" customWidth="1"/>
    <col min="15367" max="15367" width="15.28515625" style="127" bestFit="1" customWidth="1"/>
    <col min="15368" max="15616" width="12.5703125" style="127"/>
    <col min="15617" max="15618" width="12.5703125" style="127" customWidth="1"/>
    <col min="15619" max="15619" width="22.42578125" style="127" customWidth="1"/>
    <col min="15620" max="15620" width="22.5703125" style="127" customWidth="1"/>
    <col min="15621" max="15621" width="14.28515625" style="127" bestFit="1" customWidth="1"/>
    <col min="15622" max="15622" width="13.42578125" style="127" bestFit="1" customWidth="1"/>
    <col min="15623" max="15623" width="15.28515625" style="127" bestFit="1" customWidth="1"/>
    <col min="15624" max="15872" width="12.5703125" style="127"/>
    <col min="15873" max="15874" width="12.5703125" style="127" customWidth="1"/>
    <col min="15875" max="15875" width="22.42578125" style="127" customWidth="1"/>
    <col min="15876" max="15876" width="22.5703125" style="127" customWidth="1"/>
    <col min="15877" max="15877" width="14.28515625" style="127" bestFit="1" customWidth="1"/>
    <col min="15878" max="15878" width="13.42578125" style="127" bestFit="1" customWidth="1"/>
    <col min="15879" max="15879" width="15.28515625" style="127" bestFit="1" customWidth="1"/>
    <col min="15880" max="16128" width="12.5703125" style="127"/>
    <col min="16129" max="16130" width="12.5703125" style="127" customWidth="1"/>
    <col min="16131" max="16131" width="22.42578125" style="127" customWidth="1"/>
    <col min="16132" max="16132" width="22.5703125" style="127" customWidth="1"/>
    <col min="16133" max="16133" width="14.28515625" style="127" bestFit="1" customWidth="1"/>
    <col min="16134" max="16134" width="13.42578125" style="127" bestFit="1" customWidth="1"/>
    <col min="16135" max="16135" width="15.28515625" style="127" bestFit="1" customWidth="1"/>
    <col min="16136" max="16384" width="12.5703125" style="127"/>
  </cols>
  <sheetData>
    <row r="1" spans="1:9">
      <c r="A1" s="126" t="s">
        <v>172</v>
      </c>
      <c r="C1" s="128"/>
      <c r="D1" s="129"/>
    </row>
    <row r="2" spans="1:9">
      <c r="D2" s="129"/>
    </row>
    <row r="3" spans="1:9">
      <c r="B3" s="126"/>
      <c r="C3" s="126"/>
      <c r="D3" s="130"/>
      <c r="E3" s="131"/>
      <c r="F3" s="131"/>
      <c r="G3" s="131"/>
      <c r="H3" s="131"/>
      <c r="I3" s="131"/>
    </row>
    <row r="4" spans="1:9">
      <c r="B4" s="126"/>
      <c r="C4" s="126"/>
      <c r="D4" s="130"/>
      <c r="E4" s="131"/>
      <c r="F4" s="131"/>
      <c r="G4" s="131"/>
      <c r="H4" s="131"/>
      <c r="I4" s="131"/>
    </row>
    <row r="5" spans="1:9" outlineLevel="1">
      <c r="B5" s="131"/>
      <c r="C5" s="131" t="s">
        <v>173</v>
      </c>
      <c r="D5" s="132" t="s">
        <v>174</v>
      </c>
      <c r="E5" s="131"/>
      <c r="F5" s="131"/>
      <c r="G5" s="131"/>
      <c r="H5" s="131"/>
      <c r="I5" s="131"/>
    </row>
    <row r="6" spans="1:9" outlineLevel="1">
      <c r="B6" s="131"/>
      <c r="C6" s="131" t="s">
        <v>175</v>
      </c>
      <c r="D6" s="133">
        <v>100000000</v>
      </c>
      <c r="E6" s="131"/>
      <c r="F6" s="131"/>
      <c r="G6" s="131"/>
      <c r="H6" s="131"/>
      <c r="I6" s="131"/>
    </row>
    <row r="7" spans="1:9" outlineLevel="1">
      <c r="B7" s="131"/>
      <c r="C7" s="131" t="s">
        <v>176</v>
      </c>
      <c r="D7" s="133">
        <v>36</v>
      </c>
      <c r="E7" s="131"/>
      <c r="F7" s="133"/>
      <c r="G7" s="133"/>
      <c r="H7" s="131"/>
      <c r="I7" s="131"/>
    </row>
    <row r="8" spans="1:9" outlineLevel="1">
      <c r="B8" s="131"/>
      <c r="C8" s="131" t="s">
        <v>177</v>
      </c>
      <c r="D8" s="133">
        <v>3500000</v>
      </c>
      <c r="E8" s="131"/>
      <c r="F8" s="133"/>
      <c r="G8" s="133"/>
      <c r="H8" s="131"/>
      <c r="I8" s="131"/>
    </row>
    <row r="9" spans="1:9" outlineLevel="1">
      <c r="B9" s="131"/>
      <c r="C9" s="131" t="s">
        <v>178</v>
      </c>
      <c r="D9" s="134">
        <f>RATE(D7,D8,-D6)</f>
        <v>1.3067931305183814E-2</v>
      </c>
      <c r="E9" s="131"/>
      <c r="F9" s="131"/>
      <c r="G9" s="135"/>
      <c r="H9" s="131"/>
      <c r="I9" s="131"/>
    </row>
    <row r="10" spans="1:9">
      <c r="B10" s="131"/>
      <c r="C10" s="131"/>
      <c r="D10" s="133"/>
      <c r="E10" s="131"/>
      <c r="F10" s="131"/>
      <c r="G10" s="131"/>
      <c r="H10" s="131"/>
      <c r="I10" s="131"/>
    </row>
    <row r="11" spans="1:9">
      <c r="B11" s="126" t="s">
        <v>179</v>
      </c>
      <c r="C11" s="131"/>
      <c r="D11" s="133"/>
      <c r="E11" s="131"/>
      <c r="F11" s="131"/>
      <c r="G11" s="131"/>
      <c r="H11" s="131"/>
      <c r="I11" s="131"/>
    </row>
    <row r="12" spans="1:9">
      <c r="B12" s="131"/>
      <c r="C12" s="131"/>
      <c r="D12" s="133"/>
      <c r="E12" s="131"/>
      <c r="F12" s="131"/>
      <c r="G12" s="131"/>
      <c r="H12" s="131"/>
      <c r="I12" s="131"/>
    </row>
    <row r="13" spans="1:9" outlineLevel="1">
      <c r="B13" s="136" t="s">
        <v>180</v>
      </c>
      <c r="C13" s="136" t="s">
        <v>1</v>
      </c>
      <c r="D13" s="137" t="s">
        <v>181</v>
      </c>
      <c r="E13" s="136" t="s">
        <v>182</v>
      </c>
      <c r="F13" s="136" t="s">
        <v>183</v>
      </c>
      <c r="G13" s="131"/>
      <c r="H13" s="131"/>
      <c r="I13" s="131"/>
    </row>
    <row r="14" spans="1:9" outlineLevel="1">
      <c r="A14" s="229">
        <v>44986</v>
      </c>
      <c r="B14" s="230">
        <v>1</v>
      </c>
      <c r="C14" s="231">
        <f>+D6</f>
        <v>100000000</v>
      </c>
      <c r="D14" s="232">
        <f t="shared" ref="D14:D49" si="0">+C14*$D$9</f>
        <v>1306793.1305183813</v>
      </c>
      <c r="E14" s="231">
        <f t="shared" ref="E14:E49" si="1">+F14-D14</f>
        <v>2193206.8694816185</v>
      </c>
      <c r="F14" s="231">
        <f>+D8</f>
        <v>3500000</v>
      </c>
      <c r="G14" s="131"/>
      <c r="H14" s="131"/>
      <c r="I14" s="131"/>
    </row>
    <row r="15" spans="1:9" outlineLevel="1">
      <c r="A15" s="229">
        <v>45017</v>
      </c>
      <c r="B15" s="230">
        <v>2</v>
      </c>
      <c r="C15" s="231">
        <f t="shared" ref="C15:C49" si="2">+C14-E14</f>
        <v>97806793.130518377</v>
      </c>
      <c r="D15" s="232">
        <f t="shared" si="0"/>
        <v>1278132.4538099382</v>
      </c>
      <c r="E15" s="231">
        <f t="shared" si="1"/>
        <v>2221867.5461900616</v>
      </c>
      <c r="F15" s="231">
        <f t="shared" ref="F15:F49" si="3">+F14</f>
        <v>3500000</v>
      </c>
      <c r="G15" s="131"/>
      <c r="H15" s="131"/>
      <c r="I15" s="131"/>
    </row>
    <row r="16" spans="1:9" outlineLevel="1">
      <c r="A16" s="229">
        <v>45047</v>
      </c>
      <c r="B16" s="230">
        <v>3</v>
      </c>
      <c r="C16" s="231">
        <f t="shared" si="2"/>
        <v>95584925.584328309</v>
      </c>
      <c r="D16" s="232">
        <f t="shared" si="0"/>
        <v>1249097.2413471092</v>
      </c>
      <c r="E16" s="231">
        <f t="shared" si="1"/>
        <v>2250902.758652891</v>
      </c>
      <c r="F16" s="231">
        <f t="shared" si="3"/>
        <v>3500000</v>
      </c>
      <c r="G16" s="131"/>
      <c r="H16" s="131"/>
      <c r="I16" s="131"/>
    </row>
    <row r="17" spans="1:9" outlineLevel="1">
      <c r="A17" s="229">
        <v>45078</v>
      </c>
      <c r="B17" s="230">
        <v>4</v>
      </c>
      <c r="C17" s="231">
        <f t="shared" si="2"/>
        <v>93334022.825675413</v>
      </c>
      <c r="D17" s="232">
        <f t="shared" si="0"/>
        <v>1219682.5987223843</v>
      </c>
      <c r="E17" s="231">
        <f t="shared" si="1"/>
        <v>2280317.4012776157</v>
      </c>
      <c r="F17" s="231">
        <f t="shared" si="3"/>
        <v>3500000</v>
      </c>
      <c r="G17" s="131"/>
      <c r="H17" s="131"/>
      <c r="I17" s="131"/>
    </row>
    <row r="18" spans="1:9" outlineLevel="1">
      <c r="A18" s="229">
        <v>45108</v>
      </c>
      <c r="B18" s="230">
        <v>5</v>
      </c>
      <c r="C18" s="231">
        <f t="shared" si="2"/>
        <v>91053705.424397796</v>
      </c>
      <c r="D18" s="232">
        <f t="shared" si="0"/>
        <v>1189883.5675684733</v>
      </c>
      <c r="E18" s="231">
        <f t="shared" si="1"/>
        <v>2310116.4324315265</v>
      </c>
      <c r="F18" s="231">
        <f t="shared" si="3"/>
        <v>3500000</v>
      </c>
      <c r="G18" s="131"/>
      <c r="H18" s="131"/>
      <c r="I18" s="131"/>
    </row>
    <row r="19" spans="1:9" outlineLevel="1">
      <c r="A19" s="229">
        <v>45139</v>
      </c>
      <c r="B19" s="230">
        <v>6</v>
      </c>
      <c r="C19" s="231">
        <f t="shared" si="2"/>
        <v>88743588.991966277</v>
      </c>
      <c r="D19" s="232">
        <f t="shared" si="0"/>
        <v>1159695.1247224817</v>
      </c>
      <c r="E19" s="231">
        <f t="shared" si="1"/>
        <v>2340304.8752775183</v>
      </c>
      <c r="F19" s="231">
        <f t="shared" si="3"/>
        <v>3500000</v>
      </c>
      <c r="G19" s="131"/>
      <c r="H19" s="131"/>
      <c r="I19" s="131"/>
    </row>
    <row r="20" spans="1:9" outlineLevel="1">
      <c r="A20" s="229">
        <v>45170</v>
      </c>
      <c r="B20" s="230">
        <v>7</v>
      </c>
      <c r="C20" s="231">
        <f t="shared" si="2"/>
        <v>86403284.116688758</v>
      </c>
      <c r="D20" s="232">
        <f t="shared" si="0"/>
        <v>1129112.1813791683</v>
      </c>
      <c r="E20" s="231">
        <f t="shared" si="1"/>
        <v>2370887.8186208317</v>
      </c>
      <c r="F20" s="231">
        <f t="shared" si="3"/>
        <v>3500000</v>
      </c>
      <c r="G20" s="131"/>
      <c r="H20" s="131"/>
      <c r="I20" s="131"/>
    </row>
    <row r="21" spans="1:9" outlineLevel="1">
      <c r="A21" s="229">
        <v>45200</v>
      </c>
      <c r="B21" s="230">
        <v>8</v>
      </c>
      <c r="C21" s="231">
        <f t="shared" si="2"/>
        <v>84032396.298067927</v>
      </c>
      <c r="D21" s="232">
        <f t="shared" si="0"/>
        <v>1098129.5822331342</v>
      </c>
      <c r="E21" s="231">
        <f t="shared" si="1"/>
        <v>2401870.4177668658</v>
      </c>
      <c r="F21" s="231">
        <f t="shared" si="3"/>
        <v>3500000</v>
      </c>
      <c r="G21" s="131"/>
      <c r="H21" s="131"/>
      <c r="I21" s="131"/>
    </row>
    <row r="22" spans="1:9" outlineLevel="1">
      <c r="A22" s="229">
        <v>45231</v>
      </c>
      <c r="B22" s="230">
        <v>9</v>
      </c>
      <c r="C22" s="231">
        <f t="shared" si="2"/>
        <v>81630525.880301058</v>
      </c>
      <c r="D22" s="232">
        <f t="shared" si="0"/>
        <v>1066742.1046098038</v>
      </c>
      <c r="E22" s="231">
        <f t="shared" si="1"/>
        <v>2433257.8953901962</v>
      </c>
      <c r="F22" s="231">
        <f t="shared" si="3"/>
        <v>3500000</v>
      </c>
      <c r="G22" s="131"/>
      <c r="H22" s="131"/>
      <c r="I22" s="131"/>
    </row>
    <row r="23" spans="1:9" outlineLevel="1">
      <c r="A23" s="229">
        <v>45261</v>
      </c>
      <c r="B23" s="230">
        <v>10</v>
      </c>
      <c r="C23" s="231">
        <f t="shared" si="2"/>
        <v>79197267.984910861</v>
      </c>
      <c r="D23" s="232">
        <f t="shared" si="0"/>
        <v>1034944.4575850484</v>
      </c>
      <c r="E23" s="231">
        <f t="shared" si="1"/>
        <v>2465055.5424149516</v>
      </c>
      <c r="F23" s="231">
        <f t="shared" si="3"/>
        <v>3500000</v>
      </c>
      <c r="G23" s="131"/>
      <c r="H23" s="131"/>
      <c r="I23" s="131"/>
    </row>
    <row r="24" spans="1:9" outlineLevel="1">
      <c r="A24" s="160"/>
      <c r="B24" s="131">
        <v>11</v>
      </c>
      <c r="C24" s="135">
        <f t="shared" si="2"/>
        <v>76732212.442495912</v>
      </c>
      <c r="D24" s="133">
        <f t="shared" si="0"/>
        <v>1002731.2810933073</v>
      </c>
      <c r="E24" s="135">
        <f t="shared" si="1"/>
        <v>2497268.7189066927</v>
      </c>
      <c r="F24" s="135">
        <f t="shared" si="3"/>
        <v>3500000</v>
      </c>
      <c r="G24" s="131"/>
      <c r="H24" s="131"/>
      <c r="I24" s="131"/>
    </row>
    <row r="25" spans="1:9" outlineLevel="1">
      <c r="B25" s="131">
        <v>12</v>
      </c>
      <c r="C25" s="135">
        <f t="shared" si="2"/>
        <v>74234943.723589227</v>
      </c>
      <c r="D25" s="133">
        <f t="shared" si="0"/>
        <v>970097.14502405026</v>
      </c>
      <c r="E25" s="135">
        <f t="shared" si="1"/>
        <v>2529902.85497595</v>
      </c>
      <c r="F25" s="135">
        <f t="shared" si="3"/>
        <v>3500000</v>
      </c>
      <c r="G25" s="131"/>
      <c r="H25" s="131"/>
      <c r="I25" s="131"/>
    </row>
    <row r="26" spans="1:9" outlineLevel="1">
      <c r="B26" s="131">
        <v>13</v>
      </c>
      <c r="C26" s="135">
        <f t="shared" si="2"/>
        <v>71705040.868613273</v>
      </c>
      <c r="D26" s="133">
        <f t="shared" si="0"/>
        <v>937036.54830643616</v>
      </c>
      <c r="E26" s="135">
        <f t="shared" si="1"/>
        <v>2562963.4516935637</v>
      </c>
      <c r="F26" s="135">
        <f t="shared" si="3"/>
        <v>3500000</v>
      </c>
      <c r="G26" s="131"/>
      <c r="H26" s="131"/>
      <c r="I26" s="131"/>
    </row>
    <row r="27" spans="1:9" outlineLevel="1">
      <c r="B27" s="131">
        <v>14</v>
      </c>
      <c r="C27" s="135">
        <f t="shared" si="2"/>
        <v>69142077.416919708</v>
      </c>
      <c r="D27" s="133">
        <f t="shared" si="0"/>
        <v>903543.91798200784</v>
      </c>
      <c r="E27" s="135">
        <f t="shared" si="1"/>
        <v>2596456.0820179922</v>
      </c>
      <c r="F27" s="135">
        <f t="shared" si="3"/>
        <v>3500000</v>
      </c>
      <c r="G27" s="131"/>
      <c r="H27" s="131"/>
      <c r="I27" s="131"/>
    </row>
    <row r="28" spans="1:9" outlineLevel="1">
      <c r="B28" s="131">
        <v>15</v>
      </c>
      <c r="C28" s="135">
        <f t="shared" si="2"/>
        <v>66545621.334901713</v>
      </c>
      <c r="D28" s="133">
        <f t="shared" si="0"/>
        <v>869613.60826527001</v>
      </c>
      <c r="E28" s="135">
        <f t="shared" si="1"/>
        <v>2630386.39173473</v>
      </c>
      <c r="F28" s="135">
        <f t="shared" si="3"/>
        <v>3500000</v>
      </c>
      <c r="G28" s="131"/>
      <c r="H28" s="131"/>
      <c r="I28" s="131"/>
    </row>
    <row r="29" spans="1:9" outlineLevel="1">
      <c r="B29" s="131">
        <v>16</v>
      </c>
      <c r="C29" s="135">
        <f t="shared" si="2"/>
        <v>63915234.943166986</v>
      </c>
      <c r="D29" s="133">
        <f t="shared" si="0"/>
        <v>835239.89959199028</v>
      </c>
      <c r="E29" s="135">
        <f t="shared" si="1"/>
        <v>2664760.1004080097</v>
      </c>
      <c r="F29" s="135">
        <f t="shared" si="3"/>
        <v>3500000</v>
      </c>
      <c r="G29" s="131"/>
      <c r="H29" s="131"/>
      <c r="I29" s="131"/>
    </row>
    <row r="30" spans="1:9" outlineLevel="1">
      <c r="B30" s="131">
        <v>17</v>
      </c>
      <c r="C30" s="135">
        <f t="shared" si="2"/>
        <v>61250474.842758976</v>
      </c>
      <c r="D30" s="133">
        <f t="shared" si="0"/>
        <v>800416.99765506363</v>
      </c>
      <c r="E30" s="135">
        <f t="shared" si="1"/>
        <v>2699583.0023449361</v>
      </c>
      <c r="F30" s="135">
        <f t="shared" si="3"/>
        <v>3500000</v>
      </c>
      <c r="G30" s="131"/>
      <c r="H30" s="131"/>
      <c r="I30" s="131"/>
    </row>
    <row r="31" spans="1:9" outlineLevel="1">
      <c r="B31" s="131">
        <v>18</v>
      </c>
      <c r="C31" s="135">
        <f t="shared" si="2"/>
        <v>58550891.84041404</v>
      </c>
      <c r="D31" s="133">
        <f t="shared" si="0"/>
        <v>765139.03242777812</v>
      </c>
      <c r="E31" s="135">
        <f t="shared" si="1"/>
        <v>2734860.967572222</v>
      </c>
      <c r="F31" s="135">
        <f t="shared" si="3"/>
        <v>3500000</v>
      </c>
      <c r="G31" s="131"/>
      <c r="H31" s="131"/>
      <c r="I31" s="131"/>
    </row>
    <row r="32" spans="1:9" outlineLevel="1">
      <c r="B32" s="131">
        <v>19</v>
      </c>
      <c r="C32" s="135">
        <f t="shared" si="2"/>
        <v>55816030.87284182</v>
      </c>
      <c r="D32" s="133">
        <f t="shared" si="0"/>
        <v>729400.05717431579</v>
      </c>
      <c r="E32" s="135">
        <f t="shared" si="1"/>
        <v>2770599.9428256843</v>
      </c>
      <c r="F32" s="135">
        <f t="shared" si="3"/>
        <v>3500000</v>
      </c>
      <c r="G32" s="131"/>
      <c r="H32" s="131"/>
      <c r="I32" s="131"/>
    </row>
    <row r="33" spans="2:9" outlineLevel="1">
      <c r="B33" s="131">
        <v>20</v>
      </c>
      <c r="C33" s="135">
        <f t="shared" si="2"/>
        <v>53045430.930016138</v>
      </c>
      <c r="D33" s="133">
        <f t="shared" si="0"/>
        <v>693194.04744732357</v>
      </c>
      <c r="E33" s="135">
        <f t="shared" si="1"/>
        <v>2806805.9525526762</v>
      </c>
      <c r="F33" s="135">
        <f t="shared" si="3"/>
        <v>3500000</v>
      </c>
      <c r="G33" s="131"/>
      <c r="H33" s="131"/>
      <c r="I33" s="131"/>
    </row>
    <row r="34" spans="2:9" outlineLevel="1">
      <c r="B34" s="131">
        <v>21</v>
      </c>
      <c r="C34" s="135">
        <f t="shared" si="2"/>
        <v>50238624.977463461</v>
      </c>
      <c r="D34" s="133">
        <f t="shared" si="0"/>
        <v>656514.90007238428</v>
      </c>
      <c r="E34" s="135">
        <f t="shared" si="1"/>
        <v>2843485.0999276158</v>
      </c>
      <c r="F34" s="135">
        <f t="shared" si="3"/>
        <v>3500000</v>
      </c>
      <c r="G34" s="131"/>
      <c r="H34" s="131"/>
      <c r="I34" s="131"/>
    </row>
    <row r="35" spans="2:9" outlineLevel="1">
      <c r="B35" s="131">
        <v>22</v>
      </c>
      <c r="C35" s="135">
        <f t="shared" si="2"/>
        <v>47395139.877535842</v>
      </c>
      <c r="D35" s="133">
        <f t="shared" si="0"/>
        <v>619356.43211921642</v>
      </c>
      <c r="E35" s="135">
        <f t="shared" si="1"/>
        <v>2880643.5678807837</v>
      </c>
      <c r="F35" s="135">
        <f t="shared" si="3"/>
        <v>3500000</v>
      </c>
      <c r="G35" s="131"/>
      <c r="H35" s="131"/>
      <c r="I35" s="131"/>
    </row>
    <row r="36" spans="2:9" outlineLevel="1">
      <c r="B36" s="131">
        <v>23</v>
      </c>
      <c r="C36" s="135">
        <f t="shared" si="2"/>
        <v>44514496.309655055</v>
      </c>
      <c r="D36" s="133">
        <f t="shared" si="0"/>
        <v>581712.3798594306</v>
      </c>
      <c r="E36" s="135">
        <f t="shared" si="1"/>
        <v>2918287.6201405693</v>
      </c>
      <c r="F36" s="135">
        <f t="shared" si="3"/>
        <v>3500000</v>
      </c>
      <c r="G36" s="131"/>
      <c r="H36" s="131"/>
      <c r="I36" s="131"/>
    </row>
    <row r="37" spans="2:9" outlineLevel="1">
      <c r="B37" s="131">
        <v>24</v>
      </c>
      <c r="C37" s="135">
        <f t="shared" si="2"/>
        <v>41596208.689514488</v>
      </c>
      <c r="D37" s="133">
        <f t="shared" si="0"/>
        <v>543576.39771066536</v>
      </c>
      <c r="E37" s="135">
        <f t="shared" si="1"/>
        <v>2956423.6022893349</v>
      </c>
      <c r="F37" s="135">
        <f t="shared" si="3"/>
        <v>3500000</v>
      </c>
      <c r="G37" s="131"/>
      <c r="H37" s="131"/>
      <c r="I37" s="131"/>
    </row>
    <row r="38" spans="2:9" outlineLevel="1">
      <c r="B38" s="131">
        <v>25</v>
      </c>
      <c r="C38" s="135">
        <f t="shared" si="2"/>
        <v>38639785.087225154</v>
      </c>
      <c r="D38" s="133">
        <f t="shared" si="0"/>
        <v>504942.05716692429</v>
      </c>
      <c r="E38" s="135">
        <f t="shared" si="1"/>
        <v>2995057.9428330758</v>
      </c>
      <c r="F38" s="135">
        <f t="shared" si="3"/>
        <v>3500000</v>
      </c>
      <c r="G38" s="131"/>
      <c r="H38" s="131"/>
      <c r="I38" s="131"/>
    </row>
    <row r="39" spans="2:9" outlineLevel="1">
      <c r="B39" s="131">
        <v>26</v>
      </c>
      <c r="C39" s="135">
        <f t="shared" si="2"/>
        <v>35644727.144392081</v>
      </c>
      <c r="D39" s="133">
        <f t="shared" si="0"/>
        <v>465802.8457149365</v>
      </c>
      <c r="E39" s="135">
        <f t="shared" si="1"/>
        <v>3034197.1542850635</v>
      </c>
      <c r="F39" s="135">
        <f t="shared" si="3"/>
        <v>3500000</v>
      </c>
      <c r="G39" s="131"/>
      <c r="H39" s="131"/>
      <c r="I39" s="131"/>
    </row>
    <row r="40" spans="2:9" outlineLevel="1">
      <c r="B40" s="131">
        <v>27</v>
      </c>
      <c r="C40" s="135">
        <f t="shared" si="2"/>
        <v>32610529.990107019</v>
      </c>
      <c r="D40" s="133">
        <f t="shared" si="0"/>
        <v>426152.16573635512</v>
      </c>
      <c r="E40" s="135">
        <f t="shared" si="1"/>
        <v>3073847.8342636451</v>
      </c>
      <c r="F40" s="135">
        <f t="shared" si="3"/>
        <v>3500000</v>
      </c>
      <c r="G40" s="131"/>
      <c r="H40" s="131"/>
      <c r="I40" s="131"/>
    </row>
    <row r="41" spans="2:9" outlineLevel="1">
      <c r="B41" s="131">
        <v>28</v>
      </c>
      <c r="C41" s="135">
        <f t="shared" si="2"/>
        <v>29536682.155843373</v>
      </c>
      <c r="D41" s="133">
        <f t="shared" si="0"/>
        <v>385983.33339560975</v>
      </c>
      <c r="E41" s="135">
        <f t="shared" si="1"/>
        <v>3114016.6666043904</v>
      </c>
      <c r="F41" s="135">
        <f t="shared" si="3"/>
        <v>3500000</v>
      </c>
      <c r="G41" s="131"/>
      <c r="H41" s="131"/>
      <c r="I41" s="131"/>
    </row>
    <row r="42" spans="2:9" outlineLevel="1">
      <c r="B42" s="131">
        <v>29</v>
      </c>
      <c r="C42" s="135">
        <f t="shared" si="2"/>
        <v>26422665.489238985</v>
      </c>
      <c r="D42" s="133">
        <f t="shared" si="0"/>
        <v>345289.57751322613</v>
      </c>
      <c r="E42" s="135">
        <f t="shared" si="1"/>
        <v>3154710.4224867737</v>
      </c>
      <c r="F42" s="135">
        <f t="shared" si="3"/>
        <v>3500000</v>
      </c>
      <c r="G42" s="131"/>
      <c r="H42" s="131"/>
      <c r="I42" s="131"/>
    </row>
    <row r="43" spans="2:9" outlineLevel="1">
      <c r="B43" s="131">
        <v>30</v>
      </c>
      <c r="C43" s="135">
        <f t="shared" si="2"/>
        <v>23267955.06675221</v>
      </c>
      <c r="D43" s="133">
        <f t="shared" si="0"/>
        <v>304064.03842442157</v>
      </c>
      <c r="E43" s="135">
        <f t="shared" si="1"/>
        <v>3195935.9615755784</v>
      </c>
      <c r="F43" s="135">
        <f t="shared" si="3"/>
        <v>3500000</v>
      </c>
      <c r="G43" s="131"/>
      <c r="H43" s="131"/>
      <c r="I43" s="131"/>
    </row>
    <row r="44" spans="2:9" outlineLevel="1">
      <c r="B44" s="131">
        <v>31</v>
      </c>
      <c r="C44" s="135">
        <f t="shared" si="2"/>
        <v>20072019.105176631</v>
      </c>
      <c r="D44" s="133">
        <f t="shared" si="0"/>
        <v>262299.76682278531</v>
      </c>
      <c r="E44" s="135">
        <f t="shared" si="1"/>
        <v>3237700.2331772149</v>
      </c>
      <c r="F44" s="135">
        <f t="shared" si="3"/>
        <v>3500000</v>
      </c>
      <c r="G44" s="131"/>
      <c r="H44" s="131"/>
      <c r="I44" s="131"/>
    </row>
    <row r="45" spans="2:9" outlineLevel="1">
      <c r="B45" s="131">
        <v>32</v>
      </c>
      <c r="C45" s="135">
        <f t="shared" si="2"/>
        <v>16834318.871999417</v>
      </c>
      <c r="D45" s="133">
        <f t="shared" si="0"/>
        <v>219989.72258884783</v>
      </c>
      <c r="E45" s="135">
        <f t="shared" si="1"/>
        <v>3280010.2774111521</v>
      </c>
      <c r="F45" s="135">
        <f t="shared" si="3"/>
        <v>3500000</v>
      </c>
      <c r="G45" s="131"/>
      <c r="H45" s="131"/>
      <c r="I45" s="131"/>
    </row>
    <row r="46" spans="2:9" outlineLevel="1">
      <c r="B46" s="127">
        <v>33</v>
      </c>
      <c r="C46" s="139">
        <f t="shared" si="2"/>
        <v>13554308.594588265</v>
      </c>
      <c r="D46" s="140">
        <f t="shared" si="0"/>
        <v>177126.77360334201</v>
      </c>
      <c r="E46" s="139">
        <f t="shared" si="1"/>
        <v>3322873.226396658</v>
      </c>
      <c r="F46" s="135">
        <f t="shared" si="3"/>
        <v>3500000</v>
      </c>
    </row>
    <row r="47" spans="2:9" outlineLevel="1">
      <c r="B47" s="127">
        <v>34</v>
      </c>
      <c r="C47" s="139">
        <f t="shared" si="2"/>
        <v>10231435.368191607</v>
      </c>
      <c r="D47" s="140">
        <f t="shared" si="0"/>
        <v>133703.69454495597</v>
      </c>
      <c r="E47" s="139">
        <f t="shared" si="1"/>
        <v>3366296.3054550439</v>
      </c>
      <c r="F47" s="135">
        <f t="shared" si="3"/>
        <v>3500000</v>
      </c>
    </row>
    <row r="48" spans="2:9" outlineLevel="1">
      <c r="B48" s="127">
        <v>35</v>
      </c>
      <c r="C48" s="139">
        <f t="shared" si="2"/>
        <v>6865139.0627365634</v>
      </c>
      <c r="D48" s="140">
        <f t="shared" si="0"/>
        <v>89713.165672375399</v>
      </c>
      <c r="E48" s="139">
        <f t="shared" si="1"/>
        <v>3410286.8343276246</v>
      </c>
      <c r="F48" s="135">
        <f t="shared" si="3"/>
        <v>3500000</v>
      </c>
    </row>
    <row r="49" spans="2:9" outlineLevel="1">
      <c r="B49" s="127">
        <v>36</v>
      </c>
      <c r="C49" s="139">
        <f t="shared" si="2"/>
        <v>3454852.2284089387</v>
      </c>
      <c r="D49" s="140">
        <f t="shared" si="0"/>
        <v>45147.771590409233</v>
      </c>
      <c r="E49" s="139">
        <f t="shared" si="1"/>
        <v>3454852.2284095907</v>
      </c>
      <c r="F49" s="135">
        <f t="shared" si="3"/>
        <v>3500000</v>
      </c>
    </row>
    <row r="50" spans="2:9" outlineLevel="1">
      <c r="C50" s="139"/>
      <c r="D50" s="140">
        <f>SUM(D14:D49)</f>
        <v>25999999.999999352</v>
      </c>
      <c r="E50" s="140">
        <f t="shared" ref="E50:F50" si="4">SUM(E14:E49)</f>
        <v>100000000.00000064</v>
      </c>
      <c r="F50" s="140">
        <f t="shared" si="4"/>
        <v>126000000</v>
      </c>
    </row>
    <row r="53" spans="2:9">
      <c r="C53" s="128"/>
      <c r="D53" s="129"/>
    </row>
    <row r="54" spans="2:9">
      <c r="C54" s="128"/>
      <c r="D54" s="129"/>
    </row>
    <row r="55" spans="2:9" outlineLevel="1">
      <c r="D55" s="129"/>
      <c r="H55" s="139"/>
    </row>
    <row r="56" spans="2:9" outlineLevel="1">
      <c r="D56" s="129"/>
      <c r="I56" s="139"/>
    </row>
    <row r="57" spans="2:9" outlineLevel="1">
      <c r="D57" s="129"/>
      <c r="I57" s="139"/>
    </row>
    <row r="58" spans="2:9" outlineLevel="1">
      <c r="D58" s="129"/>
      <c r="H58" s="139"/>
      <c r="I58" s="139"/>
    </row>
    <row r="59" spans="2:9">
      <c r="D59" s="129"/>
    </row>
    <row r="60" spans="2:9">
      <c r="C60" s="128"/>
      <c r="D60" s="129"/>
    </row>
    <row r="61" spans="2:9">
      <c r="D61" s="129"/>
    </row>
    <row r="62" spans="2:9" outlineLevel="1">
      <c r="C62" s="129"/>
      <c r="D62" s="129"/>
      <c r="H62" s="139"/>
    </row>
    <row r="63" spans="2:9" outlineLevel="1">
      <c r="C63" s="141"/>
      <c r="D63" s="129"/>
      <c r="H63" s="139"/>
    </row>
    <row r="64" spans="2:9" outlineLevel="1">
      <c r="D64" s="129"/>
      <c r="H64" s="139"/>
    </row>
    <row r="65" spans="3:9" outlineLevel="1">
      <c r="D65" s="141"/>
      <c r="I65" s="139"/>
    </row>
    <row r="66" spans="3:9">
      <c r="D66" s="129"/>
    </row>
    <row r="67" spans="3:9">
      <c r="D67" s="129"/>
    </row>
    <row r="68" spans="3:9">
      <c r="C68" s="128"/>
      <c r="D68" s="129"/>
    </row>
    <row r="69" spans="3:9" outlineLevel="1">
      <c r="D69" s="129"/>
      <c r="H69" s="139"/>
    </row>
    <row r="70" spans="3:9" outlineLevel="1">
      <c r="C70" s="141"/>
      <c r="D70" s="129"/>
      <c r="H70" s="139"/>
    </row>
    <row r="71" spans="3:9" outlineLevel="1">
      <c r="D71" s="138"/>
      <c r="I71" s="139"/>
    </row>
  </sheetData>
  <pageMargins left="0.75" right="0.75" top="1" bottom="1" header="0.5" footer="0.5"/>
  <pageSetup scale="84" orientation="portrait" horizontalDpi="4294967292" vertic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70"/>
  <sheetViews>
    <sheetView showGridLines="0" zoomScale="98" zoomScaleNormal="98" workbookViewId="0">
      <selection activeCell="F135" sqref="F135"/>
    </sheetView>
  </sheetViews>
  <sheetFormatPr baseColWidth="10" defaultColWidth="11.42578125" defaultRowHeight="15"/>
  <cols>
    <col min="1" max="1" width="1.28515625" style="69" customWidth="1"/>
    <col min="2" max="2" width="1.7109375" style="69" customWidth="1"/>
    <col min="3" max="3" width="7.5703125" style="91" customWidth="1"/>
    <col min="4" max="4" width="46.42578125" style="92" bestFit="1" customWidth="1"/>
    <col min="5" max="5" width="21.7109375" style="93" customWidth="1"/>
    <col min="6" max="6" width="16.7109375" style="93" customWidth="1"/>
    <col min="7" max="8" width="13.140625" style="102" customWidth="1"/>
    <col min="9" max="9" width="23.28515625" style="103" customWidth="1"/>
    <col min="10" max="10" width="14" style="69" customWidth="1"/>
    <col min="11" max="11" width="12.28515625" style="69" bestFit="1" customWidth="1"/>
    <col min="12" max="251" width="11.42578125" style="69"/>
    <col min="252" max="254" width="11.42578125" style="69" customWidth="1"/>
    <col min="255" max="255" width="0.85546875" style="69" customWidth="1"/>
    <col min="256" max="256" width="47.42578125" style="69" bestFit="1" customWidth="1"/>
    <col min="257" max="259" width="11.42578125" style="69" customWidth="1"/>
    <col min="260" max="260" width="0.85546875" style="69" customWidth="1"/>
    <col min="261" max="261" width="16.7109375" style="69" bestFit="1" customWidth="1"/>
    <col min="262" max="262" width="0.85546875" style="69" customWidth="1"/>
    <col min="263" max="507" width="11.42578125" style="69"/>
    <col min="508" max="510" width="11.42578125" style="69" customWidth="1"/>
    <col min="511" max="511" width="0.85546875" style="69" customWidth="1"/>
    <col min="512" max="512" width="47.42578125" style="69" bestFit="1" customWidth="1"/>
    <col min="513" max="515" width="11.42578125" style="69" customWidth="1"/>
    <col min="516" max="516" width="0.85546875" style="69" customWidth="1"/>
    <col min="517" max="517" width="16.7109375" style="69" bestFit="1" customWidth="1"/>
    <col min="518" max="518" width="0.85546875" style="69" customWidth="1"/>
    <col min="519" max="763" width="11.42578125" style="69"/>
    <col min="764" max="766" width="11.42578125" style="69" customWidth="1"/>
    <col min="767" max="767" width="0.85546875" style="69" customWidth="1"/>
    <col min="768" max="768" width="47.42578125" style="69" bestFit="1" customWidth="1"/>
    <col min="769" max="771" width="11.42578125" style="69" customWidth="1"/>
    <col min="772" max="772" width="0.85546875" style="69" customWidth="1"/>
    <col min="773" max="773" width="16.7109375" style="69" bestFit="1" customWidth="1"/>
    <col min="774" max="774" width="0.85546875" style="69" customWidth="1"/>
    <col min="775" max="1019" width="11.42578125" style="69"/>
    <col min="1020" max="1022" width="11.42578125" style="69" customWidth="1"/>
    <col min="1023" max="1023" width="0.85546875" style="69" customWidth="1"/>
    <col min="1024" max="1024" width="47.42578125" style="69" bestFit="1" customWidth="1"/>
    <col min="1025" max="1027" width="11.42578125" style="69" customWidth="1"/>
    <col min="1028" max="1028" width="0.85546875" style="69" customWidth="1"/>
    <col min="1029" max="1029" width="16.7109375" style="69" bestFit="1" customWidth="1"/>
    <col min="1030" max="1030" width="0.85546875" style="69" customWidth="1"/>
    <col min="1031" max="1275" width="11.42578125" style="69"/>
    <col min="1276" max="1278" width="11.42578125" style="69" customWidth="1"/>
    <col min="1279" max="1279" width="0.85546875" style="69" customWidth="1"/>
    <col min="1280" max="1280" width="47.42578125" style="69" bestFit="1" customWidth="1"/>
    <col min="1281" max="1283" width="11.42578125" style="69" customWidth="1"/>
    <col min="1284" max="1284" width="0.85546875" style="69" customWidth="1"/>
    <col min="1285" max="1285" width="16.7109375" style="69" bestFit="1" customWidth="1"/>
    <col min="1286" max="1286" width="0.85546875" style="69" customWidth="1"/>
    <col min="1287" max="1531" width="11.42578125" style="69"/>
    <col min="1532" max="1534" width="11.42578125" style="69" customWidth="1"/>
    <col min="1535" max="1535" width="0.85546875" style="69" customWidth="1"/>
    <col min="1536" max="1536" width="47.42578125" style="69" bestFit="1" customWidth="1"/>
    <col min="1537" max="1539" width="11.42578125" style="69" customWidth="1"/>
    <col min="1540" max="1540" width="0.85546875" style="69" customWidth="1"/>
    <col min="1541" max="1541" width="16.7109375" style="69" bestFit="1" customWidth="1"/>
    <col min="1542" max="1542" width="0.85546875" style="69" customWidth="1"/>
    <col min="1543" max="1787" width="11.42578125" style="69"/>
    <col min="1788" max="1790" width="11.42578125" style="69" customWidth="1"/>
    <col min="1791" max="1791" width="0.85546875" style="69" customWidth="1"/>
    <col min="1792" max="1792" width="47.42578125" style="69" bestFit="1" customWidth="1"/>
    <col min="1793" max="1795" width="11.42578125" style="69" customWidth="1"/>
    <col min="1796" max="1796" width="0.85546875" style="69" customWidth="1"/>
    <col min="1797" max="1797" width="16.7109375" style="69" bestFit="1" customWidth="1"/>
    <col min="1798" max="1798" width="0.85546875" style="69" customWidth="1"/>
    <col min="1799" max="2043" width="11.42578125" style="69"/>
    <col min="2044" max="2046" width="11.42578125" style="69" customWidth="1"/>
    <col min="2047" max="2047" width="0.85546875" style="69" customWidth="1"/>
    <col min="2048" max="2048" width="47.42578125" style="69" bestFit="1" customWidth="1"/>
    <col min="2049" max="2051" width="11.42578125" style="69" customWidth="1"/>
    <col min="2052" max="2052" width="0.85546875" style="69" customWidth="1"/>
    <col min="2053" max="2053" width="16.7109375" style="69" bestFit="1" customWidth="1"/>
    <col min="2054" max="2054" width="0.85546875" style="69" customWidth="1"/>
    <col min="2055" max="2299" width="11.42578125" style="69"/>
    <col min="2300" max="2302" width="11.42578125" style="69" customWidth="1"/>
    <col min="2303" max="2303" width="0.85546875" style="69" customWidth="1"/>
    <col min="2304" max="2304" width="47.42578125" style="69" bestFit="1" customWidth="1"/>
    <col min="2305" max="2307" width="11.42578125" style="69" customWidth="1"/>
    <col min="2308" max="2308" width="0.85546875" style="69" customWidth="1"/>
    <col min="2309" max="2309" width="16.7109375" style="69" bestFit="1" customWidth="1"/>
    <col min="2310" max="2310" width="0.85546875" style="69" customWidth="1"/>
    <col min="2311" max="2555" width="11.42578125" style="69"/>
    <col min="2556" max="2558" width="11.42578125" style="69" customWidth="1"/>
    <col min="2559" max="2559" width="0.85546875" style="69" customWidth="1"/>
    <col min="2560" max="2560" width="47.42578125" style="69" bestFit="1" customWidth="1"/>
    <col min="2561" max="2563" width="11.42578125" style="69" customWidth="1"/>
    <col min="2564" max="2564" width="0.85546875" style="69" customWidth="1"/>
    <col min="2565" max="2565" width="16.7109375" style="69" bestFit="1" customWidth="1"/>
    <col min="2566" max="2566" width="0.85546875" style="69" customWidth="1"/>
    <col min="2567" max="2811" width="11.42578125" style="69"/>
    <col min="2812" max="2814" width="11.42578125" style="69" customWidth="1"/>
    <col min="2815" max="2815" width="0.85546875" style="69" customWidth="1"/>
    <col min="2816" max="2816" width="47.42578125" style="69" bestFit="1" customWidth="1"/>
    <col min="2817" max="2819" width="11.42578125" style="69" customWidth="1"/>
    <col min="2820" max="2820" width="0.85546875" style="69" customWidth="1"/>
    <col min="2821" max="2821" width="16.7109375" style="69" bestFit="1" customWidth="1"/>
    <col min="2822" max="2822" width="0.85546875" style="69" customWidth="1"/>
    <col min="2823" max="3067" width="11.42578125" style="69"/>
    <col min="3068" max="3070" width="11.42578125" style="69" customWidth="1"/>
    <col min="3071" max="3071" width="0.85546875" style="69" customWidth="1"/>
    <col min="3072" max="3072" width="47.42578125" style="69" bestFit="1" customWidth="1"/>
    <col min="3073" max="3075" width="11.42578125" style="69" customWidth="1"/>
    <col min="3076" max="3076" width="0.85546875" style="69" customWidth="1"/>
    <col min="3077" max="3077" width="16.7109375" style="69" bestFit="1" customWidth="1"/>
    <col min="3078" max="3078" width="0.85546875" style="69" customWidth="1"/>
    <col min="3079" max="3323" width="11.42578125" style="69"/>
    <col min="3324" max="3326" width="11.42578125" style="69" customWidth="1"/>
    <col min="3327" max="3327" width="0.85546875" style="69" customWidth="1"/>
    <col min="3328" max="3328" width="47.42578125" style="69" bestFit="1" customWidth="1"/>
    <col min="3329" max="3331" width="11.42578125" style="69" customWidth="1"/>
    <col min="3332" max="3332" width="0.85546875" style="69" customWidth="1"/>
    <col min="3333" max="3333" width="16.7109375" style="69" bestFit="1" customWidth="1"/>
    <col min="3334" max="3334" width="0.85546875" style="69" customWidth="1"/>
    <col min="3335" max="3579" width="11.42578125" style="69"/>
    <col min="3580" max="3582" width="11.42578125" style="69" customWidth="1"/>
    <col min="3583" max="3583" width="0.85546875" style="69" customWidth="1"/>
    <col min="3584" max="3584" width="47.42578125" style="69" bestFit="1" customWidth="1"/>
    <col min="3585" max="3587" width="11.42578125" style="69" customWidth="1"/>
    <col min="3588" max="3588" width="0.85546875" style="69" customWidth="1"/>
    <col min="3589" max="3589" width="16.7109375" style="69" bestFit="1" customWidth="1"/>
    <col min="3590" max="3590" width="0.85546875" style="69" customWidth="1"/>
    <col min="3591" max="3835" width="11.42578125" style="69"/>
    <col min="3836" max="3838" width="11.42578125" style="69" customWidth="1"/>
    <col min="3839" max="3839" width="0.85546875" style="69" customWidth="1"/>
    <col min="3840" max="3840" width="47.42578125" style="69" bestFit="1" customWidth="1"/>
    <col min="3841" max="3843" width="11.42578125" style="69" customWidth="1"/>
    <col min="3844" max="3844" width="0.85546875" style="69" customWidth="1"/>
    <col min="3845" max="3845" width="16.7109375" style="69" bestFit="1" customWidth="1"/>
    <col min="3846" max="3846" width="0.85546875" style="69" customWidth="1"/>
    <col min="3847" max="4091" width="11.42578125" style="69"/>
    <col min="4092" max="4094" width="11.42578125" style="69" customWidth="1"/>
    <col min="4095" max="4095" width="0.85546875" style="69" customWidth="1"/>
    <col min="4096" max="4096" width="47.42578125" style="69" bestFit="1" customWidth="1"/>
    <col min="4097" max="4099" width="11.42578125" style="69" customWidth="1"/>
    <col min="4100" max="4100" width="0.85546875" style="69" customWidth="1"/>
    <col min="4101" max="4101" width="16.7109375" style="69" bestFit="1" customWidth="1"/>
    <col min="4102" max="4102" width="0.85546875" style="69" customWidth="1"/>
    <col min="4103" max="4347" width="11.42578125" style="69"/>
    <col min="4348" max="4350" width="11.42578125" style="69" customWidth="1"/>
    <col min="4351" max="4351" width="0.85546875" style="69" customWidth="1"/>
    <col min="4352" max="4352" width="47.42578125" style="69" bestFit="1" customWidth="1"/>
    <col min="4353" max="4355" width="11.42578125" style="69" customWidth="1"/>
    <col min="4356" max="4356" width="0.85546875" style="69" customWidth="1"/>
    <col min="4357" max="4357" width="16.7109375" style="69" bestFit="1" customWidth="1"/>
    <col min="4358" max="4358" width="0.85546875" style="69" customWidth="1"/>
    <col min="4359" max="4603" width="11.42578125" style="69"/>
    <col min="4604" max="4606" width="11.42578125" style="69" customWidth="1"/>
    <col min="4607" max="4607" width="0.85546875" style="69" customWidth="1"/>
    <col min="4608" max="4608" width="47.42578125" style="69" bestFit="1" customWidth="1"/>
    <col min="4609" max="4611" width="11.42578125" style="69" customWidth="1"/>
    <col min="4612" max="4612" width="0.85546875" style="69" customWidth="1"/>
    <col min="4613" max="4613" width="16.7109375" style="69" bestFit="1" customWidth="1"/>
    <col min="4614" max="4614" width="0.85546875" style="69" customWidth="1"/>
    <col min="4615" max="4859" width="11.42578125" style="69"/>
    <col min="4860" max="4862" width="11.42578125" style="69" customWidth="1"/>
    <col min="4863" max="4863" width="0.85546875" style="69" customWidth="1"/>
    <col min="4864" max="4864" width="47.42578125" style="69" bestFit="1" customWidth="1"/>
    <col min="4865" max="4867" width="11.42578125" style="69" customWidth="1"/>
    <col min="4868" max="4868" width="0.85546875" style="69" customWidth="1"/>
    <col min="4869" max="4869" width="16.7109375" style="69" bestFit="1" customWidth="1"/>
    <col min="4870" max="4870" width="0.85546875" style="69" customWidth="1"/>
    <col min="4871" max="5115" width="11.42578125" style="69"/>
    <col min="5116" max="5118" width="11.42578125" style="69" customWidth="1"/>
    <col min="5119" max="5119" width="0.85546875" style="69" customWidth="1"/>
    <col min="5120" max="5120" width="47.42578125" style="69" bestFit="1" customWidth="1"/>
    <col min="5121" max="5123" width="11.42578125" style="69" customWidth="1"/>
    <col min="5124" max="5124" width="0.85546875" style="69" customWidth="1"/>
    <col min="5125" max="5125" width="16.7109375" style="69" bestFit="1" customWidth="1"/>
    <col min="5126" max="5126" width="0.85546875" style="69" customWidth="1"/>
    <col min="5127" max="5371" width="11.42578125" style="69"/>
    <col min="5372" max="5374" width="11.42578125" style="69" customWidth="1"/>
    <col min="5375" max="5375" width="0.85546875" style="69" customWidth="1"/>
    <col min="5376" max="5376" width="47.42578125" style="69" bestFit="1" customWidth="1"/>
    <col min="5377" max="5379" width="11.42578125" style="69" customWidth="1"/>
    <col min="5380" max="5380" width="0.85546875" style="69" customWidth="1"/>
    <col min="5381" max="5381" width="16.7109375" style="69" bestFit="1" customWidth="1"/>
    <col min="5382" max="5382" width="0.85546875" style="69" customWidth="1"/>
    <col min="5383" max="5627" width="11.42578125" style="69"/>
    <col min="5628" max="5630" width="11.42578125" style="69" customWidth="1"/>
    <col min="5631" max="5631" width="0.85546875" style="69" customWidth="1"/>
    <col min="5632" max="5632" width="47.42578125" style="69" bestFit="1" customWidth="1"/>
    <col min="5633" max="5635" width="11.42578125" style="69" customWidth="1"/>
    <col min="5636" max="5636" width="0.85546875" style="69" customWidth="1"/>
    <col min="5637" max="5637" width="16.7109375" style="69" bestFit="1" customWidth="1"/>
    <col min="5638" max="5638" width="0.85546875" style="69" customWidth="1"/>
    <col min="5639" max="5883" width="11.42578125" style="69"/>
    <col min="5884" max="5886" width="11.42578125" style="69" customWidth="1"/>
    <col min="5887" max="5887" width="0.85546875" style="69" customWidth="1"/>
    <col min="5888" max="5888" width="47.42578125" style="69" bestFit="1" customWidth="1"/>
    <col min="5889" max="5891" width="11.42578125" style="69" customWidth="1"/>
    <col min="5892" max="5892" width="0.85546875" style="69" customWidth="1"/>
    <col min="5893" max="5893" width="16.7109375" style="69" bestFit="1" customWidth="1"/>
    <col min="5894" max="5894" width="0.85546875" style="69" customWidth="1"/>
    <col min="5895" max="6139" width="11.42578125" style="69"/>
    <col min="6140" max="6142" width="11.42578125" style="69" customWidth="1"/>
    <col min="6143" max="6143" width="0.85546875" style="69" customWidth="1"/>
    <col min="6144" max="6144" width="47.42578125" style="69" bestFit="1" customWidth="1"/>
    <col min="6145" max="6147" width="11.42578125" style="69" customWidth="1"/>
    <col min="6148" max="6148" width="0.85546875" style="69" customWidth="1"/>
    <col min="6149" max="6149" width="16.7109375" style="69" bestFit="1" customWidth="1"/>
    <col min="6150" max="6150" width="0.85546875" style="69" customWidth="1"/>
    <col min="6151" max="6395" width="11.42578125" style="69"/>
    <col min="6396" max="6398" width="11.42578125" style="69" customWidth="1"/>
    <col min="6399" max="6399" width="0.85546875" style="69" customWidth="1"/>
    <col min="6400" max="6400" width="47.42578125" style="69" bestFit="1" customWidth="1"/>
    <col min="6401" max="6403" width="11.42578125" style="69" customWidth="1"/>
    <col min="6404" max="6404" width="0.85546875" style="69" customWidth="1"/>
    <col min="6405" max="6405" width="16.7109375" style="69" bestFit="1" customWidth="1"/>
    <col min="6406" max="6406" width="0.85546875" style="69" customWidth="1"/>
    <col min="6407" max="6651" width="11.42578125" style="69"/>
    <col min="6652" max="6654" width="11.42578125" style="69" customWidth="1"/>
    <col min="6655" max="6655" width="0.85546875" style="69" customWidth="1"/>
    <col min="6656" max="6656" width="47.42578125" style="69" bestFit="1" customWidth="1"/>
    <col min="6657" max="6659" width="11.42578125" style="69" customWidth="1"/>
    <col min="6660" max="6660" width="0.85546875" style="69" customWidth="1"/>
    <col min="6661" max="6661" width="16.7109375" style="69" bestFit="1" customWidth="1"/>
    <col min="6662" max="6662" width="0.85546875" style="69" customWidth="1"/>
    <col min="6663" max="6907" width="11.42578125" style="69"/>
    <col min="6908" max="6910" width="11.42578125" style="69" customWidth="1"/>
    <col min="6911" max="6911" width="0.85546875" style="69" customWidth="1"/>
    <col min="6912" max="6912" width="47.42578125" style="69" bestFit="1" customWidth="1"/>
    <col min="6913" max="6915" width="11.42578125" style="69" customWidth="1"/>
    <col min="6916" max="6916" width="0.85546875" style="69" customWidth="1"/>
    <col min="6917" max="6917" width="16.7109375" style="69" bestFit="1" customWidth="1"/>
    <col min="6918" max="6918" width="0.85546875" style="69" customWidth="1"/>
    <col min="6919" max="7163" width="11.42578125" style="69"/>
    <col min="7164" max="7166" width="11.42578125" style="69" customWidth="1"/>
    <col min="7167" max="7167" width="0.85546875" style="69" customWidth="1"/>
    <col min="7168" max="7168" width="47.42578125" style="69" bestFit="1" customWidth="1"/>
    <col min="7169" max="7171" width="11.42578125" style="69" customWidth="1"/>
    <col min="7172" max="7172" width="0.85546875" style="69" customWidth="1"/>
    <col min="7173" max="7173" width="16.7109375" style="69" bestFit="1" customWidth="1"/>
    <col min="7174" max="7174" width="0.85546875" style="69" customWidth="1"/>
    <col min="7175" max="7419" width="11.42578125" style="69"/>
    <col min="7420" max="7422" width="11.42578125" style="69" customWidth="1"/>
    <col min="7423" max="7423" width="0.85546875" style="69" customWidth="1"/>
    <col min="7424" max="7424" width="47.42578125" style="69" bestFit="1" customWidth="1"/>
    <col min="7425" max="7427" width="11.42578125" style="69" customWidth="1"/>
    <col min="7428" max="7428" width="0.85546875" style="69" customWidth="1"/>
    <col min="7429" max="7429" width="16.7109375" style="69" bestFit="1" customWidth="1"/>
    <col min="7430" max="7430" width="0.85546875" style="69" customWidth="1"/>
    <col min="7431" max="7675" width="11.42578125" style="69"/>
    <col min="7676" max="7678" width="11.42578125" style="69" customWidth="1"/>
    <col min="7679" max="7679" width="0.85546875" style="69" customWidth="1"/>
    <col min="7680" max="7680" width="47.42578125" style="69" bestFit="1" customWidth="1"/>
    <col min="7681" max="7683" width="11.42578125" style="69" customWidth="1"/>
    <col min="7684" max="7684" width="0.85546875" style="69" customWidth="1"/>
    <col min="7685" max="7685" width="16.7109375" style="69" bestFit="1" customWidth="1"/>
    <col min="7686" max="7686" width="0.85546875" style="69" customWidth="1"/>
    <col min="7687" max="7931" width="11.42578125" style="69"/>
    <col min="7932" max="7934" width="11.42578125" style="69" customWidth="1"/>
    <col min="7935" max="7935" width="0.85546875" style="69" customWidth="1"/>
    <col min="7936" max="7936" width="47.42578125" style="69" bestFit="1" customWidth="1"/>
    <col min="7937" max="7939" width="11.42578125" style="69" customWidth="1"/>
    <col min="7940" max="7940" width="0.85546875" style="69" customWidth="1"/>
    <col min="7941" max="7941" width="16.7109375" style="69" bestFit="1" customWidth="1"/>
    <col min="7942" max="7942" width="0.85546875" style="69" customWidth="1"/>
    <col min="7943" max="8187" width="11.42578125" style="69"/>
    <col min="8188" max="8190" width="11.42578125" style="69" customWidth="1"/>
    <col min="8191" max="8191" width="0.85546875" style="69" customWidth="1"/>
    <col min="8192" max="8192" width="47.42578125" style="69" bestFit="1" customWidth="1"/>
    <col min="8193" max="8195" width="11.42578125" style="69" customWidth="1"/>
    <col min="8196" max="8196" width="0.85546875" style="69" customWidth="1"/>
    <col min="8197" max="8197" width="16.7109375" style="69" bestFit="1" customWidth="1"/>
    <col min="8198" max="8198" width="0.85546875" style="69" customWidth="1"/>
    <col min="8199" max="8443" width="11.42578125" style="69"/>
    <col min="8444" max="8446" width="11.42578125" style="69" customWidth="1"/>
    <col min="8447" max="8447" width="0.85546875" style="69" customWidth="1"/>
    <col min="8448" max="8448" width="47.42578125" style="69" bestFit="1" customWidth="1"/>
    <col min="8449" max="8451" width="11.42578125" style="69" customWidth="1"/>
    <col min="8452" max="8452" width="0.85546875" style="69" customWidth="1"/>
    <col min="8453" max="8453" width="16.7109375" style="69" bestFit="1" customWidth="1"/>
    <col min="8454" max="8454" width="0.85546875" style="69" customWidth="1"/>
    <col min="8455" max="8699" width="11.42578125" style="69"/>
    <col min="8700" max="8702" width="11.42578125" style="69" customWidth="1"/>
    <col min="8703" max="8703" width="0.85546875" style="69" customWidth="1"/>
    <col min="8704" max="8704" width="47.42578125" style="69" bestFit="1" customWidth="1"/>
    <col min="8705" max="8707" width="11.42578125" style="69" customWidth="1"/>
    <col min="8708" max="8708" width="0.85546875" style="69" customWidth="1"/>
    <col min="8709" max="8709" width="16.7109375" style="69" bestFit="1" customWidth="1"/>
    <col min="8710" max="8710" width="0.85546875" style="69" customWidth="1"/>
    <col min="8711" max="8955" width="11.42578125" style="69"/>
    <col min="8956" max="8958" width="11.42578125" style="69" customWidth="1"/>
    <col min="8959" max="8959" width="0.85546875" style="69" customWidth="1"/>
    <col min="8960" max="8960" width="47.42578125" style="69" bestFit="1" customWidth="1"/>
    <col min="8961" max="8963" width="11.42578125" style="69" customWidth="1"/>
    <col min="8964" max="8964" width="0.85546875" style="69" customWidth="1"/>
    <col min="8965" max="8965" width="16.7109375" style="69" bestFit="1" customWidth="1"/>
    <col min="8966" max="8966" width="0.85546875" style="69" customWidth="1"/>
    <col min="8967" max="9211" width="11.42578125" style="69"/>
    <col min="9212" max="9214" width="11.42578125" style="69" customWidth="1"/>
    <col min="9215" max="9215" width="0.85546875" style="69" customWidth="1"/>
    <col min="9216" max="9216" width="47.42578125" style="69" bestFit="1" customWidth="1"/>
    <col min="9217" max="9219" width="11.42578125" style="69" customWidth="1"/>
    <col min="9220" max="9220" width="0.85546875" style="69" customWidth="1"/>
    <col min="9221" max="9221" width="16.7109375" style="69" bestFit="1" customWidth="1"/>
    <col min="9222" max="9222" width="0.85546875" style="69" customWidth="1"/>
    <col min="9223" max="9467" width="11.42578125" style="69"/>
    <col min="9468" max="9470" width="11.42578125" style="69" customWidth="1"/>
    <col min="9471" max="9471" width="0.85546875" style="69" customWidth="1"/>
    <col min="9472" max="9472" width="47.42578125" style="69" bestFit="1" customWidth="1"/>
    <col min="9473" max="9475" width="11.42578125" style="69" customWidth="1"/>
    <col min="9476" max="9476" width="0.85546875" style="69" customWidth="1"/>
    <col min="9477" max="9477" width="16.7109375" style="69" bestFit="1" customWidth="1"/>
    <col min="9478" max="9478" width="0.85546875" style="69" customWidth="1"/>
    <col min="9479" max="9723" width="11.42578125" style="69"/>
    <col min="9724" max="9726" width="11.42578125" style="69" customWidth="1"/>
    <col min="9727" max="9727" width="0.85546875" style="69" customWidth="1"/>
    <col min="9728" max="9728" width="47.42578125" style="69" bestFit="1" customWidth="1"/>
    <col min="9729" max="9731" width="11.42578125" style="69" customWidth="1"/>
    <col min="9732" max="9732" width="0.85546875" style="69" customWidth="1"/>
    <col min="9733" max="9733" width="16.7109375" style="69" bestFit="1" customWidth="1"/>
    <col min="9734" max="9734" width="0.85546875" style="69" customWidth="1"/>
    <col min="9735" max="9979" width="11.42578125" style="69"/>
    <col min="9980" max="9982" width="11.42578125" style="69" customWidth="1"/>
    <col min="9983" max="9983" width="0.85546875" style="69" customWidth="1"/>
    <col min="9984" max="9984" width="47.42578125" style="69" bestFit="1" customWidth="1"/>
    <col min="9985" max="9987" width="11.42578125" style="69" customWidth="1"/>
    <col min="9988" max="9988" width="0.85546875" style="69" customWidth="1"/>
    <col min="9989" max="9989" width="16.7109375" style="69" bestFit="1" customWidth="1"/>
    <col min="9990" max="9990" width="0.85546875" style="69" customWidth="1"/>
    <col min="9991" max="10235" width="11.42578125" style="69"/>
    <col min="10236" max="10238" width="11.42578125" style="69" customWidth="1"/>
    <col min="10239" max="10239" width="0.85546875" style="69" customWidth="1"/>
    <col min="10240" max="10240" width="47.42578125" style="69" bestFit="1" customWidth="1"/>
    <col min="10241" max="10243" width="11.42578125" style="69" customWidth="1"/>
    <col min="10244" max="10244" width="0.85546875" style="69" customWidth="1"/>
    <col min="10245" max="10245" width="16.7109375" style="69" bestFit="1" customWidth="1"/>
    <col min="10246" max="10246" width="0.85546875" style="69" customWidth="1"/>
    <col min="10247" max="10491" width="11.42578125" style="69"/>
    <col min="10492" max="10494" width="11.42578125" style="69" customWidth="1"/>
    <col min="10495" max="10495" width="0.85546875" style="69" customWidth="1"/>
    <col min="10496" max="10496" width="47.42578125" style="69" bestFit="1" customWidth="1"/>
    <col min="10497" max="10499" width="11.42578125" style="69" customWidth="1"/>
    <col min="10500" max="10500" width="0.85546875" style="69" customWidth="1"/>
    <col min="10501" max="10501" width="16.7109375" style="69" bestFit="1" customWidth="1"/>
    <col min="10502" max="10502" width="0.85546875" style="69" customWidth="1"/>
    <col min="10503" max="10747" width="11.42578125" style="69"/>
    <col min="10748" max="10750" width="11.42578125" style="69" customWidth="1"/>
    <col min="10751" max="10751" width="0.85546875" style="69" customWidth="1"/>
    <col min="10752" max="10752" width="47.42578125" style="69" bestFit="1" customWidth="1"/>
    <col min="10753" max="10755" width="11.42578125" style="69" customWidth="1"/>
    <col min="10756" max="10756" width="0.85546875" style="69" customWidth="1"/>
    <col min="10757" max="10757" width="16.7109375" style="69" bestFit="1" customWidth="1"/>
    <col min="10758" max="10758" width="0.85546875" style="69" customWidth="1"/>
    <col min="10759" max="11003" width="11.42578125" style="69"/>
    <col min="11004" max="11006" width="11.42578125" style="69" customWidth="1"/>
    <col min="11007" max="11007" width="0.85546875" style="69" customWidth="1"/>
    <col min="11008" max="11008" width="47.42578125" style="69" bestFit="1" customWidth="1"/>
    <col min="11009" max="11011" width="11.42578125" style="69" customWidth="1"/>
    <col min="11012" max="11012" width="0.85546875" style="69" customWidth="1"/>
    <col min="11013" max="11013" width="16.7109375" style="69" bestFit="1" customWidth="1"/>
    <col min="11014" max="11014" width="0.85546875" style="69" customWidth="1"/>
    <col min="11015" max="11259" width="11.42578125" style="69"/>
    <col min="11260" max="11262" width="11.42578125" style="69" customWidth="1"/>
    <col min="11263" max="11263" width="0.85546875" style="69" customWidth="1"/>
    <col min="11264" max="11264" width="47.42578125" style="69" bestFit="1" customWidth="1"/>
    <col min="11265" max="11267" width="11.42578125" style="69" customWidth="1"/>
    <col min="11268" max="11268" width="0.85546875" style="69" customWidth="1"/>
    <col min="11269" max="11269" width="16.7109375" style="69" bestFit="1" customWidth="1"/>
    <col min="11270" max="11270" width="0.85546875" style="69" customWidth="1"/>
    <col min="11271" max="11515" width="11.42578125" style="69"/>
    <col min="11516" max="11518" width="11.42578125" style="69" customWidth="1"/>
    <col min="11519" max="11519" width="0.85546875" style="69" customWidth="1"/>
    <col min="11520" max="11520" width="47.42578125" style="69" bestFit="1" customWidth="1"/>
    <col min="11521" max="11523" width="11.42578125" style="69" customWidth="1"/>
    <col min="11524" max="11524" width="0.85546875" style="69" customWidth="1"/>
    <col min="11525" max="11525" width="16.7109375" style="69" bestFit="1" customWidth="1"/>
    <col min="11526" max="11526" width="0.85546875" style="69" customWidth="1"/>
    <col min="11527" max="11771" width="11.42578125" style="69"/>
    <col min="11772" max="11774" width="11.42578125" style="69" customWidth="1"/>
    <col min="11775" max="11775" width="0.85546875" style="69" customWidth="1"/>
    <col min="11776" max="11776" width="47.42578125" style="69" bestFit="1" customWidth="1"/>
    <col min="11777" max="11779" width="11.42578125" style="69" customWidth="1"/>
    <col min="11780" max="11780" width="0.85546875" style="69" customWidth="1"/>
    <col min="11781" max="11781" width="16.7109375" style="69" bestFit="1" customWidth="1"/>
    <col min="11782" max="11782" width="0.85546875" style="69" customWidth="1"/>
    <col min="11783" max="12027" width="11.42578125" style="69"/>
    <col min="12028" max="12030" width="11.42578125" style="69" customWidth="1"/>
    <col min="12031" max="12031" width="0.85546875" style="69" customWidth="1"/>
    <col min="12032" max="12032" width="47.42578125" style="69" bestFit="1" customWidth="1"/>
    <col min="12033" max="12035" width="11.42578125" style="69" customWidth="1"/>
    <col min="12036" max="12036" width="0.85546875" style="69" customWidth="1"/>
    <col min="12037" max="12037" width="16.7109375" style="69" bestFit="1" customWidth="1"/>
    <col min="12038" max="12038" width="0.85546875" style="69" customWidth="1"/>
    <col min="12039" max="12283" width="11.42578125" style="69"/>
    <col min="12284" max="12286" width="11.42578125" style="69" customWidth="1"/>
    <col min="12287" max="12287" width="0.85546875" style="69" customWidth="1"/>
    <col min="12288" max="12288" width="47.42578125" style="69" bestFit="1" customWidth="1"/>
    <col min="12289" max="12291" width="11.42578125" style="69" customWidth="1"/>
    <col min="12292" max="12292" width="0.85546875" style="69" customWidth="1"/>
    <col min="12293" max="12293" width="16.7109375" style="69" bestFit="1" customWidth="1"/>
    <col min="12294" max="12294" width="0.85546875" style="69" customWidth="1"/>
    <col min="12295" max="12539" width="11.42578125" style="69"/>
    <col min="12540" max="12542" width="11.42578125" style="69" customWidth="1"/>
    <col min="12543" max="12543" width="0.85546875" style="69" customWidth="1"/>
    <col min="12544" max="12544" width="47.42578125" style="69" bestFit="1" customWidth="1"/>
    <col min="12545" max="12547" width="11.42578125" style="69" customWidth="1"/>
    <col min="12548" max="12548" width="0.85546875" style="69" customWidth="1"/>
    <col min="12549" max="12549" width="16.7109375" style="69" bestFit="1" customWidth="1"/>
    <col min="12550" max="12550" width="0.85546875" style="69" customWidth="1"/>
    <col min="12551" max="12795" width="11.42578125" style="69"/>
    <col min="12796" max="12798" width="11.42578125" style="69" customWidth="1"/>
    <col min="12799" max="12799" width="0.85546875" style="69" customWidth="1"/>
    <col min="12800" max="12800" width="47.42578125" style="69" bestFit="1" customWidth="1"/>
    <col min="12801" max="12803" width="11.42578125" style="69" customWidth="1"/>
    <col min="12804" max="12804" width="0.85546875" style="69" customWidth="1"/>
    <col min="12805" max="12805" width="16.7109375" style="69" bestFit="1" customWidth="1"/>
    <col min="12806" max="12806" width="0.85546875" style="69" customWidth="1"/>
    <col min="12807" max="13051" width="11.42578125" style="69"/>
    <col min="13052" max="13054" width="11.42578125" style="69" customWidth="1"/>
    <col min="13055" max="13055" width="0.85546875" style="69" customWidth="1"/>
    <col min="13056" max="13056" width="47.42578125" style="69" bestFit="1" customWidth="1"/>
    <col min="13057" max="13059" width="11.42578125" style="69" customWidth="1"/>
    <col min="13060" max="13060" width="0.85546875" style="69" customWidth="1"/>
    <col min="13061" max="13061" width="16.7109375" style="69" bestFit="1" customWidth="1"/>
    <col min="13062" max="13062" width="0.85546875" style="69" customWidth="1"/>
    <col min="13063" max="13307" width="11.42578125" style="69"/>
    <col min="13308" max="13310" width="11.42578125" style="69" customWidth="1"/>
    <col min="13311" max="13311" width="0.85546875" style="69" customWidth="1"/>
    <col min="13312" max="13312" width="47.42578125" style="69" bestFit="1" customWidth="1"/>
    <col min="13313" max="13315" width="11.42578125" style="69" customWidth="1"/>
    <col min="13316" max="13316" width="0.85546875" style="69" customWidth="1"/>
    <col min="13317" max="13317" width="16.7109375" style="69" bestFit="1" customWidth="1"/>
    <col min="13318" max="13318" width="0.85546875" style="69" customWidth="1"/>
    <col min="13319" max="13563" width="11.42578125" style="69"/>
    <col min="13564" max="13566" width="11.42578125" style="69" customWidth="1"/>
    <col min="13567" max="13567" width="0.85546875" style="69" customWidth="1"/>
    <col min="13568" max="13568" width="47.42578125" style="69" bestFit="1" customWidth="1"/>
    <col min="13569" max="13571" width="11.42578125" style="69" customWidth="1"/>
    <col min="13572" max="13572" width="0.85546875" style="69" customWidth="1"/>
    <col min="13573" max="13573" width="16.7109375" style="69" bestFit="1" customWidth="1"/>
    <col min="13574" max="13574" width="0.85546875" style="69" customWidth="1"/>
    <col min="13575" max="13819" width="11.42578125" style="69"/>
    <col min="13820" max="13822" width="11.42578125" style="69" customWidth="1"/>
    <col min="13823" max="13823" width="0.85546875" style="69" customWidth="1"/>
    <col min="13824" max="13824" width="47.42578125" style="69" bestFit="1" customWidth="1"/>
    <col min="13825" max="13827" width="11.42578125" style="69" customWidth="1"/>
    <col min="13828" max="13828" width="0.85546875" style="69" customWidth="1"/>
    <col min="13829" max="13829" width="16.7109375" style="69" bestFit="1" customWidth="1"/>
    <col min="13830" max="13830" width="0.85546875" style="69" customWidth="1"/>
    <col min="13831" max="14075" width="11.42578125" style="69"/>
    <col min="14076" max="14078" width="11.42578125" style="69" customWidth="1"/>
    <col min="14079" max="14079" width="0.85546875" style="69" customWidth="1"/>
    <col min="14080" max="14080" width="47.42578125" style="69" bestFit="1" customWidth="1"/>
    <col min="14081" max="14083" width="11.42578125" style="69" customWidth="1"/>
    <col min="14084" max="14084" width="0.85546875" style="69" customWidth="1"/>
    <col min="14085" max="14085" width="16.7109375" style="69" bestFit="1" customWidth="1"/>
    <col min="14086" max="14086" width="0.85546875" style="69" customWidth="1"/>
    <col min="14087" max="14331" width="11.42578125" style="69"/>
    <col min="14332" max="14334" width="11.42578125" style="69" customWidth="1"/>
    <col min="14335" max="14335" width="0.85546875" style="69" customWidth="1"/>
    <col min="14336" max="14336" width="47.42578125" style="69" bestFit="1" customWidth="1"/>
    <col min="14337" max="14339" width="11.42578125" style="69" customWidth="1"/>
    <col min="14340" max="14340" width="0.85546875" style="69" customWidth="1"/>
    <col min="14341" max="14341" width="16.7109375" style="69" bestFit="1" customWidth="1"/>
    <col min="14342" max="14342" width="0.85546875" style="69" customWidth="1"/>
    <col min="14343" max="14587" width="11.42578125" style="69"/>
    <col min="14588" max="14590" width="11.42578125" style="69" customWidth="1"/>
    <col min="14591" max="14591" width="0.85546875" style="69" customWidth="1"/>
    <col min="14592" max="14592" width="47.42578125" style="69" bestFit="1" customWidth="1"/>
    <col min="14593" max="14595" width="11.42578125" style="69" customWidth="1"/>
    <col min="14596" max="14596" width="0.85546875" style="69" customWidth="1"/>
    <col min="14597" max="14597" width="16.7109375" style="69" bestFit="1" customWidth="1"/>
    <col min="14598" max="14598" width="0.85546875" style="69" customWidth="1"/>
    <col min="14599" max="14843" width="11.42578125" style="69"/>
    <col min="14844" max="14846" width="11.42578125" style="69" customWidth="1"/>
    <col min="14847" max="14847" width="0.85546875" style="69" customWidth="1"/>
    <col min="14848" max="14848" width="47.42578125" style="69" bestFit="1" customWidth="1"/>
    <col min="14849" max="14851" width="11.42578125" style="69" customWidth="1"/>
    <col min="14852" max="14852" width="0.85546875" style="69" customWidth="1"/>
    <col min="14853" max="14853" width="16.7109375" style="69" bestFit="1" customWidth="1"/>
    <col min="14854" max="14854" width="0.85546875" style="69" customWidth="1"/>
    <col min="14855" max="15099" width="11.42578125" style="69"/>
    <col min="15100" max="15102" width="11.42578125" style="69" customWidth="1"/>
    <col min="15103" max="15103" width="0.85546875" style="69" customWidth="1"/>
    <col min="15104" max="15104" width="47.42578125" style="69" bestFit="1" customWidth="1"/>
    <col min="15105" max="15107" width="11.42578125" style="69" customWidth="1"/>
    <col min="15108" max="15108" width="0.85546875" style="69" customWidth="1"/>
    <col min="15109" max="15109" width="16.7109375" style="69" bestFit="1" customWidth="1"/>
    <col min="15110" max="15110" width="0.85546875" style="69" customWidth="1"/>
    <col min="15111" max="15355" width="11.42578125" style="69"/>
    <col min="15356" max="15358" width="11.42578125" style="69" customWidth="1"/>
    <col min="15359" max="15359" width="0.85546875" style="69" customWidth="1"/>
    <col min="15360" max="15360" width="47.42578125" style="69" bestFit="1" customWidth="1"/>
    <col min="15361" max="15363" width="11.42578125" style="69" customWidth="1"/>
    <col min="15364" max="15364" width="0.85546875" style="69" customWidth="1"/>
    <col min="15365" max="15365" width="16.7109375" style="69" bestFit="1" customWidth="1"/>
    <col min="15366" max="15366" width="0.85546875" style="69" customWidth="1"/>
    <col min="15367" max="15611" width="11.42578125" style="69"/>
    <col min="15612" max="15614" width="11.42578125" style="69" customWidth="1"/>
    <col min="15615" max="15615" width="0.85546875" style="69" customWidth="1"/>
    <col min="15616" max="15616" width="47.42578125" style="69" bestFit="1" customWidth="1"/>
    <col min="15617" max="15619" width="11.42578125" style="69" customWidth="1"/>
    <col min="15620" max="15620" width="0.85546875" style="69" customWidth="1"/>
    <col min="15621" max="15621" width="16.7109375" style="69" bestFit="1" customWidth="1"/>
    <col min="15622" max="15622" width="0.85546875" style="69" customWidth="1"/>
    <col min="15623" max="15867" width="11.42578125" style="69"/>
    <col min="15868" max="15870" width="11.42578125" style="69" customWidth="1"/>
    <col min="15871" max="15871" width="0.85546875" style="69" customWidth="1"/>
    <col min="15872" max="15872" width="47.42578125" style="69" bestFit="1" customWidth="1"/>
    <col min="15873" max="15875" width="11.42578125" style="69" customWidth="1"/>
    <col min="15876" max="15876" width="0.85546875" style="69" customWidth="1"/>
    <col min="15877" max="15877" width="16.7109375" style="69" bestFit="1" customWidth="1"/>
    <col min="15878" max="15878" width="0.85546875" style="69" customWidth="1"/>
    <col min="15879" max="16123" width="11.42578125" style="69"/>
    <col min="16124" max="16126" width="11.42578125" style="69" customWidth="1"/>
    <col min="16127" max="16127" width="0.85546875" style="69" customWidth="1"/>
    <col min="16128" max="16128" width="47.42578125" style="69" bestFit="1" customWidth="1"/>
    <col min="16129" max="16131" width="11.42578125" style="69" customWidth="1"/>
    <col min="16132" max="16132" width="0.85546875" style="69" customWidth="1"/>
    <col min="16133" max="16133" width="16.7109375" style="69" bestFit="1" customWidth="1"/>
    <col min="16134" max="16134" width="0.85546875" style="69" customWidth="1"/>
    <col min="16135" max="16384" width="11.42578125" style="69"/>
  </cols>
  <sheetData>
    <row r="1" spans="2:10" s="65" customFormat="1" ht="12.75">
      <c r="B1" s="64"/>
      <c r="D1" s="66"/>
      <c r="G1" s="67"/>
      <c r="H1" s="67"/>
      <c r="I1" s="67"/>
    </row>
    <row r="2" spans="2:10" s="65" customFormat="1" ht="12.75">
      <c r="D2" s="66"/>
      <c r="G2" s="67"/>
      <c r="H2" s="67"/>
      <c r="I2" s="67"/>
    </row>
    <row r="3" spans="2:10" s="65" customFormat="1" ht="15.75">
      <c r="C3" s="68" t="s">
        <v>218</v>
      </c>
      <c r="D3" s="66"/>
      <c r="G3" s="67"/>
      <c r="H3" s="67"/>
      <c r="I3" s="67"/>
    </row>
    <row r="4" spans="2:10">
      <c r="C4" s="70"/>
      <c r="D4" s="71"/>
      <c r="E4" s="72"/>
      <c r="F4" s="72"/>
      <c r="G4" s="73"/>
      <c r="H4" s="73"/>
      <c r="I4" s="74"/>
    </row>
    <row r="5" spans="2:10" ht="30" customHeight="1">
      <c r="C5" s="75"/>
      <c r="D5" s="324" t="s">
        <v>382</v>
      </c>
      <c r="E5" s="324"/>
      <c r="F5" s="76"/>
      <c r="G5" s="67"/>
      <c r="H5" s="67"/>
      <c r="I5" s="67"/>
    </row>
    <row r="6" spans="2:10" s="77" customFormat="1">
      <c r="D6" s="78" t="s">
        <v>116</v>
      </c>
      <c r="E6" s="79">
        <f>+'activo no corriente 2022 '!G16</f>
        <v>5000000</v>
      </c>
      <c r="F6" s="79">
        <f>+'activo no corriente 2022 '!I16</f>
        <v>500000</v>
      </c>
      <c r="G6" s="67"/>
      <c r="H6" s="67"/>
      <c r="I6" s="67"/>
    </row>
    <row r="7" spans="2:10" s="77" customFormat="1">
      <c r="C7" s="80"/>
      <c r="D7" s="78" t="s">
        <v>106</v>
      </c>
      <c r="E7" s="79"/>
      <c r="F7" s="79"/>
      <c r="G7" s="67"/>
      <c r="H7" s="67"/>
      <c r="I7" s="67"/>
    </row>
    <row r="8" spans="2:10" s="77" customFormat="1">
      <c r="C8" s="81"/>
      <c r="D8" s="82" t="s">
        <v>107</v>
      </c>
      <c r="E8" s="79">
        <v>0</v>
      </c>
      <c r="F8" s="79"/>
      <c r="G8" s="67"/>
      <c r="H8" s="67"/>
      <c r="I8" s="67"/>
    </row>
    <row r="9" spans="2:10" s="77" customFormat="1">
      <c r="C9" s="80"/>
      <c r="D9" s="83"/>
      <c r="E9" s="79"/>
      <c r="F9" s="79"/>
      <c r="G9" s="67"/>
      <c r="H9" s="67"/>
      <c r="I9" s="67"/>
    </row>
    <row r="10" spans="2:10" s="77" customFormat="1">
      <c r="C10" s="81"/>
      <c r="D10" s="84" t="s">
        <v>108</v>
      </c>
      <c r="E10" s="85">
        <f>SUM(E6:E9)</f>
        <v>5000000</v>
      </c>
      <c r="F10" s="85">
        <f>SUM(F6:F9)</f>
        <v>500000</v>
      </c>
      <c r="G10" s="67"/>
      <c r="H10" s="67"/>
      <c r="I10" s="67"/>
    </row>
    <row r="11" spans="2:10" s="77" customFormat="1" ht="15.75" thickBot="1">
      <c r="C11" s="81"/>
      <c r="D11" s="78" t="s">
        <v>119</v>
      </c>
      <c r="E11" s="87"/>
      <c r="F11" s="87"/>
      <c r="G11" s="67"/>
      <c r="H11" s="67"/>
      <c r="I11" s="67"/>
    </row>
    <row r="12" spans="2:10" s="77" customFormat="1" ht="15.75" customHeight="1" thickTop="1">
      <c r="C12" s="81"/>
      <c r="D12" s="78"/>
      <c r="E12" s="79">
        <f>SUM(E10:E11)</f>
        <v>5000000</v>
      </c>
      <c r="F12" s="79">
        <f>SUM(F10:F11)</f>
        <v>500000</v>
      </c>
      <c r="G12" s="67"/>
      <c r="H12" s="67"/>
      <c r="I12" s="67"/>
    </row>
    <row r="13" spans="2:10" s="77" customFormat="1" ht="15" customHeight="1">
      <c r="C13" s="88"/>
      <c r="D13" s="89"/>
      <c r="E13" s="90"/>
      <c r="F13" s="86"/>
      <c r="G13" s="67"/>
      <c r="H13" s="67"/>
      <c r="I13" s="67"/>
    </row>
    <row r="14" spans="2:10">
      <c r="G14" s="67"/>
      <c r="H14" s="67"/>
      <c r="I14" s="67"/>
    </row>
    <row r="15" spans="2:10" ht="63.75" customHeight="1">
      <c r="D15" s="94" t="s">
        <v>219</v>
      </c>
      <c r="E15" s="95" t="s">
        <v>109</v>
      </c>
      <c r="F15" s="95" t="s">
        <v>110</v>
      </c>
      <c r="G15" s="94" t="s">
        <v>111</v>
      </c>
      <c r="H15" s="94" t="s">
        <v>112</v>
      </c>
      <c r="I15" s="94" t="s">
        <v>113</v>
      </c>
      <c r="J15" s="94" t="s">
        <v>220</v>
      </c>
    </row>
    <row r="16" spans="2:10" s="96" customFormat="1" ht="22.5" customHeight="1">
      <c r="C16" s="97"/>
      <c r="D16" s="98" t="s">
        <v>117</v>
      </c>
      <c r="E16" s="99">
        <v>10</v>
      </c>
      <c r="F16" s="99">
        <f>+'activo no corriente 2022 '!F16-'activo no corriente 2022 '!H16</f>
        <v>108</v>
      </c>
      <c r="G16" s="100">
        <f>+E12-F12</f>
        <v>4500000</v>
      </c>
      <c r="H16" s="100">
        <v>12</v>
      </c>
      <c r="I16" s="101">
        <f>+G16/F16*H16</f>
        <v>500000</v>
      </c>
      <c r="J16" s="101">
        <f>+G16-I16</f>
        <v>4000000</v>
      </c>
    </row>
    <row r="18" spans="4:10">
      <c r="D18" s="324" t="s">
        <v>383</v>
      </c>
      <c r="E18" s="324"/>
      <c r="F18" s="76"/>
      <c r="G18" s="67"/>
      <c r="H18" s="67"/>
      <c r="I18" s="67"/>
    </row>
    <row r="19" spans="4:10">
      <c r="D19" s="78" t="s">
        <v>116</v>
      </c>
      <c r="E19" s="79">
        <f>+'activo no corriente 2022 '!G29</f>
        <v>5625000</v>
      </c>
      <c r="F19" s="79">
        <f>+'activo no corriente 2022 '!I29</f>
        <v>375000</v>
      </c>
      <c r="G19" s="67"/>
      <c r="H19" s="67"/>
      <c r="I19" s="67"/>
      <c r="J19" s="77"/>
    </row>
    <row r="20" spans="4:10">
      <c r="D20" s="78" t="s">
        <v>106</v>
      </c>
      <c r="E20" s="79"/>
      <c r="F20" s="79"/>
      <c r="G20" s="67"/>
      <c r="H20" s="67"/>
      <c r="I20" s="67"/>
      <c r="J20" s="77"/>
    </row>
    <row r="21" spans="4:10">
      <c r="D21" s="82" t="s">
        <v>107</v>
      </c>
      <c r="E21" s="79">
        <v>0</v>
      </c>
      <c r="F21" s="79"/>
      <c r="G21" s="67"/>
      <c r="H21" s="67"/>
      <c r="I21" s="67"/>
      <c r="J21" s="77"/>
    </row>
    <row r="22" spans="4:10">
      <c r="D22" s="83"/>
      <c r="E22" s="79"/>
      <c r="F22" s="79"/>
      <c r="G22" s="67"/>
      <c r="H22" s="67"/>
      <c r="I22" s="67"/>
      <c r="J22" s="77"/>
    </row>
    <row r="23" spans="4:10">
      <c r="D23" s="84" t="s">
        <v>108</v>
      </c>
      <c r="E23" s="85">
        <f>SUM(E19:E22)</f>
        <v>5625000</v>
      </c>
      <c r="F23" s="85">
        <f>SUM(F19:F22)</f>
        <v>375000</v>
      </c>
      <c r="G23" s="67"/>
      <c r="H23" s="67"/>
      <c r="I23" s="67"/>
      <c r="J23" s="77"/>
    </row>
    <row r="24" spans="4:10" ht="15.75" thickBot="1">
      <c r="D24" s="78" t="s">
        <v>548</v>
      </c>
      <c r="E24" s="87">
        <f>+E23*4.8%</f>
        <v>270000</v>
      </c>
      <c r="F24" s="87">
        <f>+F23*4.8%</f>
        <v>18000</v>
      </c>
      <c r="G24" s="67"/>
      <c r="H24" s="67"/>
      <c r="I24" s="67"/>
      <c r="J24" s="77"/>
    </row>
    <row r="25" spans="4:10" ht="15.75" thickTop="1">
      <c r="D25" s="78"/>
      <c r="E25" s="79">
        <f>SUM(E23:E24)</f>
        <v>5895000</v>
      </c>
      <c r="F25" s="79">
        <f>SUM(F23:F24)</f>
        <v>393000</v>
      </c>
      <c r="G25" s="67"/>
      <c r="H25" s="67"/>
      <c r="I25" s="67"/>
      <c r="J25" s="77"/>
    </row>
    <row r="26" spans="4:10">
      <c r="D26" s="89"/>
      <c r="E26" s="90"/>
      <c r="F26" s="86"/>
      <c r="G26" s="67"/>
      <c r="H26" s="67"/>
      <c r="I26" s="67"/>
      <c r="J26" s="77"/>
    </row>
    <row r="27" spans="4:10">
      <c r="G27" s="67"/>
      <c r="H27" s="67"/>
      <c r="I27" s="67"/>
    </row>
    <row r="28" spans="4:10" ht="45">
      <c r="D28" s="94" t="s">
        <v>219</v>
      </c>
      <c r="E28" s="95" t="s">
        <v>109</v>
      </c>
      <c r="F28" s="95" t="s">
        <v>110</v>
      </c>
      <c r="G28" s="94" t="s">
        <v>111</v>
      </c>
      <c r="H28" s="94" t="s">
        <v>112</v>
      </c>
      <c r="I28" s="94" t="s">
        <v>113</v>
      </c>
      <c r="J28" s="94" t="s">
        <v>220</v>
      </c>
    </row>
    <row r="29" spans="4:10">
      <c r="D29" s="98" t="s">
        <v>117</v>
      </c>
      <c r="E29" s="99">
        <v>15</v>
      </c>
      <c r="F29" s="99">
        <f>+'activo no corriente 2022 '!F29-'activo no corriente 2022 '!H29</f>
        <v>168</v>
      </c>
      <c r="G29" s="100">
        <f>+E25-F25</f>
        <v>5502000</v>
      </c>
      <c r="H29" s="100">
        <v>12</v>
      </c>
      <c r="I29" s="101">
        <f>+G29/F29*H29</f>
        <v>393000</v>
      </c>
      <c r="J29" s="101">
        <f>+G29-I29</f>
        <v>5109000</v>
      </c>
    </row>
    <row r="31" spans="4:10">
      <c r="D31" s="324" t="s">
        <v>384</v>
      </c>
      <c r="E31" s="324"/>
      <c r="F31" s="76"/>
      <c r="G31" s="67"/>
      <c r="H31" s="67"/>
      <c r="I31" s="67"/>
    </row>
    <row r="32" spans="4:10">
      <c r="D32" s="78"/>
      <c r="E32" s="79">
        <f>+E19</f>
        <v>5625000</v>
      </c>
      <c r="F32" s="79">
        <f>+'activo no corriente 2022 '!I42</f>
        <v>1125000</v>
      </c>
      <c r="G32" s="67"/>
      <c r="H32" s="67"/>
      <c r="I32" s="67"/>
      <c r="J32" s="77"/>
    </row>
    <row r="33" spans="4:10">
      <c r="D33" s="78" t="s">
        <v>106</v>
      </c>
      <c r="E33" s="79"/>
      <c r="F33" s="79"/>
      <c r="G33" s="67"/>
      <c r="H33" s="67"/>
      <c r="I33" s="67"/>
      <c r="J33" s="77"/>
    </row>
    <row r="34" spans="4:10">
      <c r="D34" s="82" t="s">
        <v>107</v>
      </c>
      <c r="E34" s="79">
        <v>0</v>
      </c>
      <c r="F34" s="79"/>
      <c r="G34" s="67"/>
      <c r="H34" s="67"/>
      <c r="I34" s="67"/>
      <c r="J34" s="77"/>
    </row>
    <row r="35" spans="4:10">
      <c r="D35" s="83"/>
      <c r="E35" s="79"/>
      <c r="F35" s="79"/>
      <c r="G35" s="67"/>
      <c r="H35" s="67"/>
      <c r="I35" s="67"/>
      <c r="J35" s="77"/>
    </row>
    <row r="36" spans="4:10">
      <c r="D36" s="84" t="s">
        <v>108</v>
      </c>
      <c r="E36" s="85">
        <f>SUM(E32:E35)</f>
        <v>5625000</v>
      </c>
      <c r="F36" s="85">
        <f>SUM(F32:F35)</f>
        <v>1125000</v>
      </c>
      <c r="G36" s="67"/>
      <c r="H36" s="67"/>
      <c r="I36" s="67"/>
      <c r="J36" s="77"/>
    </row>
    <row r="37" spans="4:10" ht="15.75" thickBot="1">
      <c r="D37" s="78" t="s">
        <v>548</v>
      </c>
      <c r="E37" s="87">
        <f>+E36*4.8%</f>
        <v>270000</v>
      </c>
      <c r="F37" s="87">
        <f>+F36*4.8%</f>
        <v>54000</v>
      </c>
      <c r="G37" s="67"/>
      <c r="H37" s="67"/>
      <c r="I37" s="67"/>
      <c r="J37" s="77"/>
    </row>
    <row r="38" spans="4:10" ht="15.75" thickTop="1">
      <c r="D38" s="78"/>
      <c r="E38" s="79">
        <f>SUM(E36:E37)</f>
        <v>5895000</v>
      </c>
      <c r="F38" s="79">
        <f>SUM(F36:F37)</f>
        <v>1179000</v>
      </c>
      <c r="G38" s="67"/>
      <c r="H38" s="67"/>
      <c r="I38" s="67"/>
      <c r="J38" s="77"/>
    </row>
    <row r="39" spans="4:10">
      <c r="D39" s="89"/>
      <c r="E39" s="90"/>
      <c r="F39" s="86"/>
      <c r="G39" s="67"/>
      <c r="H39" s="67"/>
      <c r="I39" s="67"/>
      <c r="J39" s="77"/>
    </row>
    <row r="40" spans="4:10">
      <c r="G40" s="67"/>
      <c r="H40" s="67"/>
      <c r="I40" s="67"/>
    </row>
    <row r="41" spans="4:10" ht="45">
      <c r="D41" s="94" t="s">
        <v>219</v>
      </c>
      <c r="E41" s="95" t="s">
        <v>109</v>
      </c>
      <c r="F41" s="95" t="s">
        <v>110</v>
      </c>
      <c r="G41" s="94" t="s">
        <v>111</v>
      </c>
      <c r="H41" s="94" t="s">
        <v>112</v>
      </c>
      <c r="I41" s="94" t="s">
        <v>113</v>
      </c>
      <c r="J41" s="94" t="s">
        <v>220</v>
      </c>
    </row>
    <row r="42" spans="4:10">
      <c r="D42" s="98" t="s">
        <v>117</v>
      </c>
      <c r="E42" s="99">
        <v>5</v>
      </c>
      <c r="F42" s="99">
        <f>+'activo no corriente 2022 '!F42-'activo no corriente 2022 '!H42</f>
        <v>48</v>
      </c>
      <c r="G42" s="100">
        <f>+E38-F38</f>
        <v>4716000</v>
      </c>
      <c r="H42" s="100">
        <v>12</v>
      </c>
      <c r="I42" s="101">
        <f>+G42/F42*H42</f>
        <v>1179000</v>
      </c>
      <c r="J42" s="101">
        <f>+G42-I42</f>
        <v>3537000</v>
      </c>
    </row>
    <row r="47" spans="4:10">
      <c r="D47" s="324" t="s">
        <v>379</v>
      </c>
      <c r="E47" s="324"/>
      <c r="F47" s="76"/>
      <c r="G47" s="67"/>
      <c r="H47" s="67"/>
      <c r="I47" s="67"/>
    </row>
    <row r="48" spans="4:10">
      <c r="D48" s="78" t="s">
        <v>116</v>
      </c>
      <c r="E48" s="79">
        <v>12000000</v>
      </c>
      <c r="F48" s="79">
        <f>+'activo no corriente 2022 '!I58</f>
        <v>1714285.7142857146</v>
      </c>
      <c r="G48" s="67"/>
      <c r="H48" s="67"/>
      <c r="I48" s="67"/>
      <c r="J48" s="77"/>
    </row>
    <row r="49" spans="4:10">
      <c r="D49" s="78" t="s">
        <v>106</v>
      </c>
      <c r="E49" s="79"/>
      <c r="F49" s="79"/>
      <c r="G49" s="67"/>
      <c r="H49" s="67"/>
      <c r="I49" s="67"/>
      <c r="J49" s="77"/>
    </row>
    <row r="50" spans="4:10">
      <c r="D50" s="82" t="s">
        <v>107</v>
      </c>
      <c r="E50" s="79">
        <v>0</v>
      </c>
      <c r="F50" s="79">
        <v>0</v>
      </c>
      <c r="G50" s="67"/>
      <c r="H50" s="67"/>
      <c r="I50" s="67"/>
      <c r="J50" s="77"/>
    </row>
    <row r="51" spans="4:10">
      <c r="D51" s="83"/>
      <c r="E51" s="79"/>
      <c r="F51" s="79"/>
      <c r="G51" s="67"/>
      <c r="H51" s="67"/>
      <c r="I51" s="67"/>
      <c r="J51" s="77"/>
    </row>
    <row r="52" spans="4:10">
      <c r="D52" s="84" t="s">
        <v>108</v>
      </c>
      <c r="E52" s="85">
        <f>SUM(E48:E51)</f>
        <v>12000000</v>
      </c>
      <c r="F52" s="85">
        <f>SUM(F48:F51)</f>
        <v>1714285.7142857146</v>
      </c>
      <c r="G52" s="67"/>
      <c r="H52" s="67"/>
      <c r="I52" s="67"/>
      <c r="J52" s="77"/>
    </row>
    <row r="53" spans="4:10" ht="15.75" thickBot="1">
      <c r="D53" s="78" t="s">
        <v>119</v>
      </c>
      <c r="E53" s="87"/>
      <c r="F53" s="87"/>
      <c r="G53" s="67"/>
      <c r="H53" s="67"/>
      <c r="I53" s="67"/>
      <c r="J53" s="77"/>
    </row>
    <row r="54" spans="4:10" ht="15.75" thickTop="1">
      <c r="D54" s="78"/>
      <c r="E54" s="79">
        <f>SUM(E52:E53)</f>
        <v>12000000</v>
      </c>
      <c r="F54" s="79">
        <f>SUM(F52:F53)</f>
        <v>1714285.7142857146</v>
      </c>
      <c r="G54" s="67"/>
      <c r="H54" s="67"/>
      <c r="I54" s="67"/>
      <c r="J54" s="77"/>
    </row>
    <row r="55" spans="4:10">
      <c r="D55" s="89"/>
      <c r="E55" s="90"/>
      <c r="F55" s="86"/>
      <c r="G55" s="67"/>
      <c r="H55" s="67"/>
      <c r="I55" s="67"/>
      <c r="J55" s="77"/>
    </row>
    <row r="56" spans="4:10">
      <c r="G56" s="67"/>
      <c r="H56" s="67"/>
      <c r="I56" s="67"/>
    </row>
    <row r="57" spans="4:10" ht="45">
      <c r="D57" s="94" t="s">
        <v>219</v>
      </c>
      <c r="E57" s="95" t="s">
        <v>109</v>
      </c>
      <c r="F57" s="95" t="s">
        <v>110</v>
      </c>
      <c r="G57" s="94" t="s">
        <v>111</v>
      </c>
      <c r="H57" s="94" t="s">
        <v>112</v>
      </c>
      <c r="I57" s="94" t="s">
        <v>113</v>
      </c>
      <c r="J57" s="94" t="s">
        <v>220</v>
      </c>
    </row>
    <row r="58" spans="4:10">
      <c r="D58" s="98" t="s">
        <v>117</v>
      </c>
      <c r="E58" s="99">
        <v>7</v>
      </c>
      <c r="F58" s="99">
        <f>+'activo no corriente 2022 '!F58-'activo no corriente 2022 '!H58</f>
        <v>72</v>
      </c>
      <c r="G58" s="100">
        <f>+E54-F54</f>
        <v>10285714.285714285</v>
      </c>
      <c r="H58" s="100">
        <v>12</v>
      </c>
      <c r="I58" s="101">
        <f>+G58/F58*H58</f>
        <v>1714285.7142857141</v>
      </c>
      <c r="J58" s="101">
        <f>+G58-I58</f>
        <v>8571428.5714285709</v>
      </c>
    </row>
    <row r="60" spans="4:10">
      <c r="D60" s="324" t="s">
        <v>380</v>
      </c>
      <c r="E60" s="324"/>
      <c r="F60" s="76"/>
      <c r="G60" s="67"/>
      <c r="H60" s="67"/>
      <c r="I60" s="67"/>
    </row>
    <row r="61" spans="4:10">
      <c r="D61" s="78" t="s">
        <v>116</v>
      </c>
      <c r="E61" s="79">
        <f>+'activo no corriente 2022 '!G71</f>
        <v>13500000</v>
      </c>
      <c r="F61" s="79">
        <f>+'activo no corriente 2022 '!I71</f>
        <v>1928571.4285714286</v>
      </c>
      <c r="G61" s="67"/>
      <c r="H61" s="67"/>
      <c r="I61" s="67"/>
      <c r="J61" s="77"/>
    </row>
    <row r="62" spans="4:10">
      <c r="D62" s="78" t="s">
        <v>106</v>
      </c>
      <c r="E62" s="79"/>
      <c r="F62" s="79"/>
      <c r="G62" s="67"/>
      <c r="H62" s="67"/>
      <c r="I62" s="67"/>
      <c r="J62" s="77"/>
    </row>
    <row r="63" spans="4:10">
      <c r="D63" s="82" t="s">
        <v>107</v>
      </c>
      <c r="E63" s="79">
        <v>0</v>
      </c>
      <c r="F63" s="79"/>
      <c r="G63" s="67"/>
      <c r="H63" s="67"/>
      <c r="I63" s="67"/>
      <c r="J63" s="77"/>
    </row>
    <row r="64" spans="4:10">
      <c r="D64" s="83"/>
      <c r="E64" s="79"/>
      <c r="F64" s="79"/>
      <c r="G64" s="67"/>
      <c r="H64" s="67"/>
      <c r="I64" s="67"/>
      <c r="J64" s="77"/>
    </row>
    <row r="65" spans="4:10">
      <c r="D65" s="84" t="s">
        <v>108</v>
      </c>
      <c r="E65" s="85">
        <f>SUM(E61:E64)</f>
        <v>13500000</v>
      </c>
      <c r="F65" s="85">
        <f>SUM(F61:F64)</f>
        <v>1928571.4285714286</v>
      </c>
      <c r="G65" s="67"/>
      <c r="H65" s="67"/>
      <c r="I65" s="67"/>
      <c r="J65" s="77"/>
    </row>
    <row r="66" spans="4:10" ht="15.75" thickBot="1">
      <c r="D66" s="78" t="s">
        <v>548</v>
      </c>
      <c r="E66" s="87">
        <f>+E65*4.8%</f>
        <v>648000</v>
      </c>
      <c r="F66" s="87">
        <f>+F65*4.8%</f>
        <v>92571.42857142858</v>
      </c>
      <c r="G66" s="67"/>
      <c r="H66" s="67"/>
      <c r="I66" s="67"/>
      <c r="J66" s="77"/>
    </row>
    <row r="67" spans="4:10" ht="15.75" thickTop="1">
      <c r="D67" s="78"/>
      <c r="E67" s="79">
        <f>SUM(E65:E66)</f>
        <v>14148000</v>
      </c>
      <c r="F67" s="79">
        <f>SUM(F65:F66)</f>
        <v>2021142.8571428573</v>
      </c>
      <c r="G67" s="67"/>
      <c r="H67" s="67"/>
      <c r="I67" s="67"/>
      <c r="J67" s="77"/>
    </row>
    <row r="68" spans="4:10">
      <c r="D68" s="89"/>
      <c r="E68" s="90"/>
      <c r="F68" s="86"/>
      <c r="G68" s="67"/>
      <c r="H68" s="67"/>
      <c r="I68" s="67"/>
      <c r="J68" s="77"/>
    </row>
    <row r="69" spans="4:10">
      <c r="G69" s="67"/>
      <c r="H69" s="67"/>
      <c r="I69" s="67"/>
    </row>
    <row r="70" spans="4:10" ht="45">
      <c r="D70" s="94" t="s">
        <v>219</v>
      </c>
      <c r="E70" s="95" t="s">
        <v>109</v>
      </c>
      <c r="F70" s="95" t="s">
        <v>110</v>
      </c>
      <c r="G70" s="94" t="s">
        <v>111</v>
      </c>
      <c r="H70" s="94" t="s">
        <v>112</v>
      </c>
      <c r="I70" s="94" t="s">
        <v>113</v>
      </c>
      <c r="J70" s="94" t="s">
        <v>220</v>
      </c>
    </row>
    <row r="71" spans="4:10">
      <c r="D71" s="98" t="s">
        <v>117</v>
      </c>
      <c r="E71" s="99">
        <v>7</v>
      </c>
      <c r="F71" s="99">
        <f>+'activo no corriente 2022 '!F71-'activo no corriente 2022 '!H71</f>
        <v>72</v>
      </c>
      <c r="G71" s="100">
        <f>+E67-F67</f>
        <v>12126857.142857142</v>
      </c>
      <c r="H71" s="100">
        <v>12</v>
      </c>
      <c r="I71" s="101">
        <f>+G71/F71*H71</f>
        <v>2021142.857142857</v>
      </c>
      <c r="J71" s="101">
        <f>+G71-I71</f>
        <v>10105714.285714285</v>
      </c>
    </row>
    <row r="73" spans="4:10">
      <c r="D73" s="324" t="s">
        <v>385</v>
      </c>
      <c r="E73" s="324"/>
      <c r="F73" s="76"/>
      <c r="G73" s="67"/>
      <c r="H73" s="67"/>
      <c r="I73" s="67"/>
    </row>
    <row r="74" spans="4:10">
      <c r="D74" s="78"/>
      <c r="E74" s="79">
        <f>+E61</f>
        <v>13500000</v>
      </c>
      <c r="F74" s="79">
        <f>+'activo no corriente 2022 '!I84</f>
        <v>6750000</v>
      </c>
      <c r="G74" s="67"/>
      <c r="H74" s="67"/>
      <c r="I74" s="67"/>
      <c r="J74" s="77"/>
    </row>
    <row r="75" spans="4:10">
      <c r="D75" s="78" t="s">
        <v>106</v>
      </c>
      <c r="E75" s="79"/>
      <c r="F75" s="79"/>
      <c r="G75" s="67"/>
      <c r="H75" s="67"/>
      <c r="I75" s="67"/>
      <c r="J75" s="77"/>
    </row>
    <row r="76" spans="4:10">
      <c r="D76" s="82" t="s">
        <v>107</v>
      </c>
      <c r="E76" s="79">
        <v>0</v>
      </c>
      <c r="F76" s="79"/>
      <c r="G76" s="67"/>
      <c r="H76" s="67"/>
      <c r="I76" s="67"/>
      <c r="J76" s="77"/>
    </row>
    <row r="77" spans="4:10">
      <c r="D77" s="83"/>
      <c r="E77" s="79"/>
      <c r="F77" s="79"/>
      <c r="G77" s="67"/>
      <c r="H77" s="67"/>
      <c r="I77" s="67"/>
      <c r="J77" s="77"/>
    </row>
    <row r="78" spans="4:10">
      <c r="D78" s="84" t="s">
        <v>108</v>
      </c>
      <c r="E78" s="85">
        <f>SUM(E74:E77)</f>
        <v>13500000</v>
      </c>
      <c r="F78" s="85">
        <f>SUM(F74:F77)</f>
        <v>6750000</v>
      </c>
      <c r="G78" s="67"/>
      <c r="H78" s="67"/>
      <c r="I78" s="67"/>
      <c r="J78" s="77"/>
    </row>
    <row r="79" spans="4:10" ht="15.75" thickBot="1">
      <c r="D79" s="78" t="s">
        <v>548</v>
      </c>
      <c r="E79" s="87">
        <f>+E78*4.8%</f>
        <v>648000</v>
      </c>
      <c r="F79" s="87">
        <f>+F78*4.8%</f>
        <v>324000</v>
      </c>
      <c r="G79" s="67"/>
      <c r="H79" s="67"/>
      <c r="I79" s="67"/>
      <c r="J79" s="77"/>
    </row>
    <row r="80" spans="4:10" ht="15.75" thickTop="1">
      <c r="D80" s="78"/>
      <c r="E80" s="79">
        <f>SUM(E78:E79)</f>
        <v>14148000</v>
      </c>
      <c r="F80" s="79">
        <f>SUM(F78:F79)</f>
        <v>7074000</v>
      </c>
      <c r="G80" s="67"/>
      <c r="H80" s="67"/>
      <c r="I80" s="67"/>
      <c r="J80" s="77"/>
    </row>
    <row r="81" spans="4:10">
      <c r="D81" s="89"/>
      <c r="E81" s="90"/>
      <c r="F81" s="86"/>
      <c r="G81" s="67"/>
      <c r="H81" s="67"/>
      <c r="I81" s="67"/>
      <c r="J81" s="77"/>
    </row>
    <row r="82" spans="4:10">
      <c r="G82" s="67"/>
      <c r="H82" s="67"/>
      <c r="I82" s="67"/>
    </row>
    <row r="83" spans="4:10" ht="45">
      <c r="D83" s="94" t="s">
        <v>219</v>
      </c>
      <c r="E83" s="95" t="s">
        <v>109</v>
      </c>
      <c r="F83" s="95" t="s">
        <v>110</v>
      </c>
      <c r="G83" s="94" t="s">
        <v>111</v>
      </c>
      <c r="H83" s="94" t="s">
        <v>112</v>
      </c>
      <c r="I83" s="94" t="s">
        <v>113</v>
      </c>
      <c r="J83" s="94" t="s">
        <v>220</v>
      </c>
    </row>
    <row r="84" spans="4:10">
      <c r="D84" s="98" t="s">
        <v>117</v>
      </c>
      <c r="E84" s="99">
        <v>2</v>
      </c>
      <c r="F84" s="99">
        <v>12</v>
      </c>
      <c r="G84" s="100">
        <f>+E80-F80</f>
        <v>7074000</v>
      </c>
      <c r="H84" s="100">
        <v>12</v>
      </c>
      <c r="I84" s="101">
        <f>+G84/F84*H84</f>
        <v>7074000</v>
      </c>
      <c r="J84" s="101">
        <f>+G84-I84</f>
        <v>0</v>
      </c>
    </row>
    <row r="89" spans="4:10">
      <c r="D89" s="324" t="s">
        <v>386</v>
      </c>
      <c r="E89" s="324"/>
      <c r="F89" s="76"/>
      <c r="G89" s="67"/>
      <c r="H89" s="67"/>
      <c r="I89" s="67"/>
    </row>
    <row r="90" spans="4:10">
      <c r="D90" s="78" t="s">
        <v>116</v>
      </c>
      <c r="E90" s="79">
        <v>120000000</v>
      </c>
      <c r="F90" s="79"/>
      <c r="G90" s="67"/>
      <c r="H90" s="67"/>
      <c r="I90" s="67"/>
      <c r="J90" s="77"/>
    </row>
    <row r="91" spans="4:10">
      <c r="D91" s="78" t="s">
        <v>106</v>
      </c>
      <c r="E91" s="79"/>
      <c r="F91" s="79"/>
      <c r="G91" s="67"/>
      <c r="H91" s="67"/>
      <c r="I91" s="67"/>
      <c r="J91" s="77"/>
    </row>
    <row r="92" spans="4:10">
      <c r="D92" s="82" t="s">
        <v>107</v>
      </c>
      <c r="E92" s="79">
        <v>0</v>
      </c>
      <c r="F92" s="79"/>
      <c r="G92" s="67"/>
      <c r="H92" s="67"/>
      <c r="I92" s="67"/>
      <c r="J92" s="77"/>
    </row>
    <row r="93" spans="4:10">
      <c r="D93" s="83"/>
      <c r="E93" s="79"/>
      <c r="F93" s="79"/>
      <c r="G93" s="67"/>
      <c r="H93" s="67"/>
      <c r="I93" s="67"/>
      <c r="J93" s="77"/>
    </row>
    <row r="94" spans="4:10">
      <c r="D94" s="84" t="s">
        <v>108</v>
      </c>
      <c r="E94" s="85">
        <f>SUM(E90:E93)</f>
        <v>120000000</v>
      </c>
      <c r="F94" s="86"/>
      <c r="G94" s="67"/>
      <c r="H94" s="67"/>
      <c r="I94" s="67"/>
      <c r="J94" s="77"/>
    </row>
    <row r="95" spans="4:10" ht="15.75" thickBot="1">
      <c r="D95" s="78" t="s">
        <v>119</v>
      </c>
      <c r="E95" s="87"/>
      <c r="F95" s="79"/>
      <c r="G95" s="67"/>
      <c r="H95" s="67"/>
      <c r="I95" s="67"/>
      <c r="J95" s="77"/>
    </row>
    <row r="96" spans="4:10" ht="15.75" thickTop="1">
      <c r="D96" s="78"/>
      <c r="E96" s="79">
        <f>SUM(E94:E95)</f>
        <v>120000000</v>
      </c>
      <c r="F96" s="79"/>
      <c r="G96" s="67"/>
      <c r="H96" s="67"/>
      <c r="I96" s="67"/>
      <c r="J96" s="77"/>
    </row>
    <row r="97" spans="4:10">
      <c r="D97" s="89"/>
      <c r="E97" s="90"/>
      <c r="F97" s="86"/>
      <c r="G97" s="67"/>
      <c r="H97" s="67"/>
      <c r="I97" s="67"/>
      <c r="J97" s="77"/>
    </row>
    <row r="98" spans="4:10">
      <c r="G98" s="67"/>
      <c r="H98" s="67"/>
      <c r="I98" s="67"/>
    </row>
    <row r="99" spans="4:10" ht="45">
      <c r="D99" s="94" t="s">
        <v>219</v>
      </c>
      <c r="E99" s="95" t="s">
        <v>109</v>
      </c>
      <c r="F99" s="95" t="s">
        <v>110</v>
      </c>
      <c r="G99" s="94" t="s">
        <v>111</v>
      </c>
      <c r="H99" s="94" t="s">
        <v>112</v>
      </c>
      <c r="I99" s="94" t="s">
        <v>113</v>
      </c>
      <c r="J99" s="94" t="s">
        <v>220</v>
      </c>
    </row>
    <row r="100" spans="4:10">
      <c r="D100" s="98" t="s">
        <v>117</v>
      </c>
      <c r="E100" s="99"/>
      <c r="F100" s="99">
        <f>+E100*12</f>
        <v>0</v>
      </c>
      <c r="G100" s="100">
        <f>+E96</f>
        <v>120000000</v>
      </c>
      <c r="H100" s="100"/>
      <c r="I100" s="101"/>
      <c r="J100" s="101">
        <f>+G100-I100</f>
        <v>120000000</v>
      </c>
    </row>
    <row r="102" spans="4:10">
      <c r="D102" s="324" t="s">
        <v>545</v>
      </c>
      <c r="E102" s="324"/>
      <c r="F102" s="76"/>
      <c r="G102" s="67"/>
      <c r="H102" s="67"/>
      <c r="I102" s="67"/>
    </row>
    <row r="103" spans="4:10">
      <c r="D103" s="78" t="s">
        <v>116</v>
      </c>
      <c r="E103" s="79">
        <f>+'activo no corriente 2022 '!E109</f>
        <v>135000000</v>
      </c>
      <c r="F103" s="79"/>
      <c r="G103" s="67"/>
      <c r="H103" s="67"/>
      <c r="I103" s="67"/>
      <c r="J103" s="77"/>
    </row>
    <row r="104" spans="4:10">
      <c r="D104" s="78" t="s">
        <v>106</v>
      </c>
      <c r="E104" s="79"/>
      <c r="F104" s="79"/>
      <c r="G104" s="67"/>
      <c r="H104" s="67"/>
      <c r="I104" s="67"/>
      <c r="J104" s="77"/>
    </row>
    <row r="105" spans="4:10">
      <c r="D105" s="82" t="s">
        <v>107</v>
      </c>
      <c r="E105" s="79">
        <v>0</v>
      </c>
      <c r="F105" s="79"/>
      <c r="G105" s="67"/>
      <c r="H105" s="67"/>
      <c r="I105" s="67"/>
      <c r="J105" s="77"/>
    </row>
    <row r="106" spans="4:10">
      <c r="D106" s="83"/>
      <c r="E106" s="79"/>
      <c r="F106" s="79"/>
      <c r="G106" s="67"/>
      <c r="H106" s="67"/>
      <c r="I106" s="67"/>
      <c r="J106" s="77"/>
    </row>
    <row r="107" spans="4:10">
      <c r="D107" s="84" t="s">
        <v>108</v>
      </c>
      <c r="E107" s="85">
        <f>SUM(E103:E106)</f>
        <v>135000000</v>
      </c>
      <c r="F107" s="86"/>
      <c r="G107" s="67"/>
      <c r="H107" s="67"/>
      <c r="I107" s="67"/>
      <c r="J107" s="77"/>
    </row>
    <row r="108" spans="4:10" ht="15.75" thickBot="1">
      <c r="D108" s="78" t="s">
        <v>548</v>
      </c>
      <c r="E108" s="87">
        <f>+E107*4.8%</f>
        <v>6480000</v>
      </c>
      <c r="F108" s="79"/>
      <c r="G108" s="67"/>
      <c r="H108" s="67"/>
      <c r="I108" s="67"/>
      <c r="J108" s="77"/>
    </row>
    <row r="109" spans="4:10" ht="15.75" thickTop="1">
      <c r="D109" s="78"/>
      <c r="E109" s="79">
        <f>SUM(E107:E108)</f>
        <v>141480000</v>
      </c>
      <c r="F109" s="79"/>
      <c r="G109" s="67"/>
      <c r="H109" s="67"/>
      <c r="I109" s="67"/>
      <c r="J109" s="77"/>
    </row>
    <row r="110" spans="4:10">
      <c r="D110" s="89"/>
      <c r="E110" s="90"/>
      <c r="F110" s="86"/>
      <c r="G110" s="67"/>
      <c r="H110" s="67"/>
      <c r="I110" s="67"/>
      <c r="J110" s="77"/>
    </row>
    <row r="111" spans="4:10">
      <c r="G111" s="67"/>
      <c r="H111" s="67"/>
      <c r="I111" s="67"/>
    </row>
    <row r="112" spans="4:10" ht="45">
      <c r="D112" s="94" t="s">
        <v>219</v>
      </c>
      <c r="E112" s="95" t="s">
        <v>109</v>
      </c>
      <c r="F112" s="95" t="s">
        <v>110</v>
      </c>
      <c r="G112" s="94" t="s">
        <v>111</v>
      </c>
      <c r="H112" s="94" t="s">
        <v>112</v>
      </c>
      <c r="I112" s="94" t="s">
        <v>113</v>
      </c>
      <c r="J112" s="94" t="s">
        <v>220</v>
      </c>
    </row>
    <row r="113" spans="4:10">
      <c r="D113" s="98" t="s">
        <v>117</v>
      </c>
      <c r="E113" s="99"/>
      <c r="F113" s="99">
        <f>12*E113</f>
        <v>0</v>
      </c>
      <c r="G113" s="100">
        <f>+E109</f>
        <v>141480000</v>
      </c>
      <c r="H113" s="100"/>
      <c r="I113" s="101"/>
      <c r="J113" s="101">
        <f>+G113-I113</f>
        <v>141480000</v>
      </c>
    </row>
    <row r="116" spans="4:10">
      <c r="D116" s="324" t="s">
        <v>387</v>
      </c>
      <c r="E116" s="324"/>
      <c r="F116" s="76"/>
      <c r="G116" s="67"/>
      <c r="H116" s="67"/>
      <c r="I116" s="67"/>
    </row>
    <row r="117" spans="4:10">
      <c r="D117" s="78" t="s">
        <v>116</v>
      </c>
      <c r="E117" s="79">
        <v>280000000</v>
      </c>
      <c r="F117" s="79">
        <f>+'activo no corriente 2022 '!I127</f>
        <v>4666666.666666666</v>
      </c>
      <c r="G117" s="67"/>
      <c r="H117" s="67"/>
      <c r="I117" s="67"/>
      <c r="J117" s="77"/>
    </row>
    <row r="118" spans="4:10">
      <c r="D118" s="78" t="s">
        <v>106</v>
      </c>
      <c r="E118" s="79"/>
      <c r="F118" s="79"/>
      <c r="G118" s="67"/>
      <c r="H118" s="67"/>
      <c r="I118" s="67"/>
      <c r="J118" s="77"/>
    </row>
    <row r="119" spans="4:10">
      <c r="D119" s="82" t="s">
        <v>107</v>
      </c>
      <c r="E119" s="79">
        <v>0</v>
      </c>
      <c r="F119" s="79"/>
      <c r="G119" s="67"/>
      <c r="H119" s="67"/>
      <c r="I119" s="67"/>
      <c r="J119" s="77"/>
    </row>
    <row r="120" spans="4:10">
      <c r="D120" s="83"/>
      <c r="E120" s="79"/>
      <c r="F120" s="79"/>
      <c r="G120" s="67"/>
      <c r="H120" s="67"/>
      <c r="I120" s="67"/>
      <c r="J120" s="77"/>
    </row>
    <row r="121" spans="4:10">
      <c r="D121" s="84" t="s">
        <v>108</v>
      </c>
      <c r="E121" s="85">
        <f>SUM(E117:E120)</f>
        <v>280000000</v>
      </c>
      <c r="F121" s="85">
        <f>SUM(F117:F120)</f>
        <v>4666666.666666666</v>
      </c>
      <c r="G121" s="67"/>
      <c r="H121" s="67"/>
      <c r="I121" s="67"/>
      <c r="J121" s="77"/>
    </row>
    <row r="122" spans="4:10" ht="15.75" thickBot="1">
      <c r="D122" s="78" t="s">
        <v>119</v>
      </c>
      <c r="E122" s="87"/>
      <c r="F122" s="87"/>
      <c r="G122" s="67"/>
      <c r="H122" s="67"/>
      <c r="I122" s="67"/>
      <c r="J122" s="77"/>
    </row>
    <row r="123" spans="4:10" ht="15.75" thickTop="1">
      <c r="D123" s="78"/>
      <c r="E123" s="79">
        <f>SUM(E121:E122)</f>
        <v>280000000</v>
      </c>
      <c r="F123" s="79">
        <f>SUM(F121:F122)</f>
        <v>4666666.666666666</v>
      </c>
      <c r="G123" s="67"/>
      <c r="H123" s="67"/>
      <c r="I123" s="67"/>
      <c r="J123" s="77"/>
    </row>
    <row r="124" spans="4:10">
      <c r="D124" s="89"/>
      <c r="E124" s="90"/>
      <c r="F124" s="86"/>
      <c r="G124" s="67"/>
      <c r="H124" s="67"/>
      <c r="I124" s="67"/>
      <c r="J124" s="77"/>
    </row>
    <row r="125" spans="4:10">
      <c r="G125" s="67"/>
      <c r="H125" s="67"/>
      <c r="I125" s="67"/>
    </row>
    <row r="126" spans="4:10" ht="45">
      <c r="D126" s="94" t="s">
        <v>219</v>
      </c>
      <c r="E126" s="95" t="s">
        <v>109</v>
      </c>
      <c r="F126" s="95" t="s">
        <v>110</v>
      </c>
      <c r="G126" s="94" t="s">
        <v>111</v>
      </c>
      <c r="H126" s="94" t="s">
        <v>112</v>
      </c>
      <c r="I126" s="94" t="s">
        <v>113</v>
      </c>
      <c r="J126" s="94" t="s">
        <v>220</v>
      </c>
    </row>
    <row r="127" spans="4:10">
      <c r="D127" s="98" t="s">
        <v>117</v>
      </c>
      <c r="E127" s="99">
        <v>60</v>
      </c>
      <c r="F127" s="99">
        <f>+'activo no corriente 2022 '!F127-'activo no corriente 2022 '!H127</f>
        <v>708</v>
      </c>
      <c r="G127" s="100">
        <f>+E123-F123</f>
        <v>275333333.33333331</v>
      </c>
      <c r="H127" s="100">
        <v>12</v>
      </c>
      <c r="I127" s="101">
        <f>+G127/F127*H127</f>
        <v>4666666.666666666</v>
      </c>
      <c r="J127" s="101">
        <f>+G127-I127</f>
        <v>270666666.66666663</v>
      </c>
    </row>
    <row r="129" spans="4:10">
      <c r="D129" s="324" t="s">
        <v>388</v>
      </c>
      <c r="E129" s="324"/>
      <c r="F129" s="76"/>
      <c r="G129" s="67"/>
      <c r="H129" s="67"/>
      <c r="I129" s="67"/>
    </row>
    <row r="130" spans="4:10">
      <c r="D130" s="78" t="s">
        <v>116</v>
      </c>
      <c r="E130" s="79">
        <f>+'activo no corriente 2022 '!E136</f>
        <v>315000000</v>
      </c>
      <c r="F130" s="79">
        <f>+'activo no corriente 2022 '!I140</f>
        <v>7875000</v>
      </c>
      <c r="G130" s="67"/>
      <c r="H130" s="67"/>
      <c r="I130" s="67"/>
      <c r="J130" s="77"/>
    </row>
    <row r="131" spans="4:10">
      <c r="D131" s="78" t="s">
        <v>106</v>
      </c>
      <c r="E131" s="79"/>
      <c r="F131" s="79"/>
      <c r="G131" s="67"/>
      <c r="H131" s="67"/>
      <c r="I131" s="67"/>
      <c r="J131" s="77"/>
    </row>
    <row r="132" spans="4:10">
      <c r="D132" s="82" t="s">
        <v>107</v>
      </c>
      <c r="E132" s="79">
        <v>0</v>
      </c>
      <c r="F132" s="79"/>
      <c r="G132" s="67"/>
      <c r="H132" s="67"/>
      <c r="I132" s="67"/>
      <c r="J132" s="77"/>
    </row>
    <row r="133" spans="4:10">
      <c r="D133" s="83"/>
      <c r="E133" s="79"/>
      <c r="F133" s="79"/>
      <c r="G133" s="67"/>
      <c r="H133" s="67"/>
      <c r="I133" s="67"/>
      <c r="J133" s="77"/>
    </row>
    <row r="134" spans="4:10">
      <c r="D134" s="84" t="s">
        <v>108</v>
      </c>
      <c r="E134" s="85">
        <f>SUM(E130:E133)</f>
        <v>315000000</v>
      </c>
      <c r="F134" s="85">
        <f>SUM(F130:F133)</f>
        <v>7875000</v>
      </c>
      <c r="G134" s="67"/>
      <c r="H134" s="67"/>
      <c r="I134" s="67"/>
      <c r="J134" s="77"/>
    </row>
    <row r="135" spans="4:10" ht="15.75" thickBot="1">
      <c r="D135" s="78" t="s">
        <v>548</v>
      </c>
      <c r="E135" s="87">
        <f>+E134*4.8%</f>
        <v>15120000</v>
      </c>
      <c r="F135" s="87">
        <f>+F134*4.8%</f>
        <v>378000</v>
      </c>
      <c r="G135" s="67"/>
      <c r="H135" s="67"/>
      <c r="I135" s="67"/>
      <c r="J135" s="77"/>
    </row>
    <row r="136" spans="4:10" ht="15.75" thickTop="1">
      <c r="D136" s="78"/>
      <c r="E136" s="79">
        <f>SUM(E134:E135)</f>
        <v>330120000</v>
      </c>
      <c r="F136" s="79">
        <f>SUM(F134:F135)</f>
        <v>8253000</v>
      </c>
      <c r="G136" s="67"/>
      <c r="H136" s="67"/>
      <c r="I136" s="67"/>
      <c r="J136" s="77"/>
    </row>
    <row r="137" spans="4:10">
      <c r="D137" s="89"/>
      <c r="E137" s="90"/>
      <c r="F137" s="86"/>
      <c r="G137" s="67"/>
      <c r="H137" s="67"/>
      <c r="I137" s="67"/>
      <c r="J137" s="77"/>
    </row>
    <row r="138" spans="4:10">
      <c r="G138" s="67"/>
      <c r="H138" s="67"/>
      <c r="I138" s="67"/>
    </row>
    <row r="139" spans="4:10" ht="45">
      <c r="D139" s="94" t="s">
        <v>219</v>
      </c>
      <c r="E139" s="95" t="s">
        <v>109</v>
      </c>
      <c r="F139" s="95" t="s">
        <v>110</v>
      </c>
      <c r="G139" s="94" t="s">
        <v>111</v>
      </c>
      <c r="H139" s="94" t="s">
        <v>112</v>
      </c>
      <c r="I139" s="94" t="s">
        <v>113</v>
      </c>
      <c r="J139" s="94" t="s">
        <v>220</v>
      </c>
    </row>
    <row r="140" spans="4:10">
      <c r="D140" s="98" t="s">
        <v>117</v>
      </c>
      <c r="E140" s="99">
        <v>40</v>
      </c>
      <c r="F140" s="99">
        <f>+'activo no corriente 2022 '!F140-'activo no corriente 2022 '!H140</f>
        <v>468</v>
      </c>
      <c r="G140" s="100">
        <f>+E136-F136</f>
        <v>321867000</v>
      </c>
      <c r="H140" s="100">
        <v>12</v>
      </c>
      <c r="I140" s="101">
        <f>+G140/F140*H140</f>
        <v>8253000</v>
      </c>
      <c r="J140" s="101">
        <f>+G140-I140</f>
        <v>313614000</v>
      </c>
    </row>
    <row r="142" spans="4:10">
      <c r="D142" s="324" t="s">
        <v>546</v>
      </c>
      <c r="E142" s="324"/>
      <c r="F142" s="76"/>
      <c r="G142" s="67"/>
      <c r="H142" s="67"/>
      <c r="I142" s="67"/>
    </row>
    <row r="143" spans="4:10">
      <c r="D143" s="78" t="s">
        <v>116</v>
      </c>
      <c r="E143" s="79">
        <f>+E130</f>
        <v>315000000</v>
      </c>
      <c r="F143" s="79">
        <f>+'activo no corriente 2022 '!I153</f>
        <v>24230769.230769232</v>
      </c>
      <c r="G143" s="67"/>
      <c r="H143" s="67"/>
      <c r="I143" s="67"/>
      <c r="J143" s="77"/>
    </row>
    <row r="144" spans="4:10">
      <c r="D144" s="78" t="s">
        <v>106</v>
      </c>
      <c r="E144" s="79"/>
      <c r="F144" s="79"/>
      <c r="G144" s="67"/>
      <c r="H144" s="67"/>
      <c r="I144" s="67"/>
      <c r="J144" s="77"/>
    </row>
    <row r="145" spans="4:10">
      <c r="D145" s="82" t="s">
        <v>107</v>
      </c>
      <c r="E145" s="79">
        <v>0</v>
      </c>
      <c r="F145" s="79"/>
      <c r="G145" s="67"/>
      <c r="H145" s="67"/>
      <c r="I145" s="67"/>
      <c r="J145" s="77"/>
    </row>
    <row r="146" spans="4:10">
      <c r="D146" s="83"/>
      <c r="E146" s="79"/>
      <c r="F146" s="79"/>
      <c r="G146" s="67"/>
      <c r="H146" s="67"/>
      <c r="I146" s="67"/>
      <c r="J146" s="77"/>
    </row>
    <row r="147" spans="4:10">
      <c r="D147" s="84" t="s">
        <v>108</v>
      </c>
      <c r="E147" s="85">
        <f>SUM(E143:E146)</f>
        <v>315000000</v>
      </c>
      <c r="F147" s="85">
        <f>SUM(F143:F146)</f>
        <v>24230769.230769232</v>
      </c>
      <c r="G147" s="67"/>
      <c r="H147" s="67"/>
      <c r="I147" s="67"/>
      <c r="J147" s="77"/>
    </row>
    <row r="148" spans="4:10" ht="15.75" thickBot="1">
      <c r="D148" s="78" t="s">
        <v>548</v>
      </c>
      <c r="E148" s="87">
        <f>+E147*4.8%</f>
        <v>15120000</v>
      </c>
      <c r="F148" s="87">
        <f>+F147*4.8%</f>
        <v>1163076.9230769232</v>
      </c>
      <c r="G148" s="67"/>
      <c r="H148" s="67"/>
      <c r="I148" s="67"/>
      <c r="J148" s="77"/>
    </row>
    <row r="149" spans="4:10" ht="15.75" thickTop="1">
      <c r="D149" s="78"/>
      <c r="E149" s="79">
        <f>SUM(E147:E148)</f>
        <v>330120000</v>
      </c>
      <c r="F149" s="79">
        <f>SUM(F147:F148)</f>
        <v>25393846.153846156</v>
      </c>
      <c r="G149" s="67"/>
      <c r="H149" s="67"/>
      <c r="I149" s="67"/>
      <c r="J149" s="77"/>
    </row>
    <row r="150" spans="4:10">
      <c r="D150" s="89"/>
      <c r="E150" s="90"/>
      <c r="F150" s="86"/>
      <c r="G150" s="67"/>
      <c r="H150" s="67"/>
      <c r="I150" s="67"/>
      <c r="J150" s="77"/>
    </row>
    <row r="151" spans="4:10">
      <c r="G151" s="67"/>
      <c r="H151" s="67"/>
      <c r="I151" s="67"/>
    </row>
    <row r="152" spans="4:10" ht="45">
      <c r="D152" s="94" t="s">
        <v>219</v>
      </c>
      <c r="E152" s="95" t="s">
        <v>109</v>
      </c>
      <c r="F152" s="95" t="s">
        <v>110</v>
      </c>
      <c r="G152" s="94" t="s">
        <v>111</v>
      </c>
      <c r="H152" s="94" t="s">
        <v>112</v>
      </c>
      <c r="I152" s="94" t="s">
        <v>113</v>
      </c>
      <c r="J152" s="94" t="s">
        <v>220</v>
      </c>
    </row>
    <row r="153" spans="4:10">
      <c r="D153" s="98" t="s">
        <v>117</v>
      </c>
      <c r="E153" s="99">
        <v>13</v>
      </c>
      <c r="F153" s="99">
        <f>+'activo no corriente 2022 '!F153-'activo no corriente 2022 '!H153</f>
        <v>144</v>
      </c>
      <c r="G153" s="100">
        <f>+E149-F149</f>
        <v>304726153.84615386</v>
      </c>
      <c r="H153" s="100">
        <v>12</v>
      </c>
      <c r="I153" s="101">
        <f>+G153/F153*H153</f>
        <v>25393846.153846152</v>
      </c>
      <c r="J153" s="101">
        <f>+G153-I153</f>
        <v>279332307.69230771</v>
      </c>
    </row>
    <row r="154" spans="4:10">
      <c r="D154" s="70"/>
      <c r="E154" s="71"/>
      <c r="F154" s="72"/>
    </row>
    <row r="159" spans="4:10">
      <c r="D159" s="324" t="s">
        <v>547</v>
      </c>
      <c r="E159" s="324"/>
      <c r="F159" s="76"/>
      <c r="G159" s="67"/>
      <c r="H159" s="67"/>
      <c r="I159" s="67"/>
    </row>
    <row r="160" spans="4:10">
      <c r="D160" s="78" t="s">
        <v>552</v>
      </c>
      <c r="E160" s="79">
        <v>100000000</v>
      </c>
      <c r="F160" s="79"/>
      <c r="G160" s="67"/>
      <c r="H160" s="67"/>
      <c r="I160" s="67"/>
      <c r="J160" s="77"/>
    </row>
    <row r="161" spans="4:10">
      <c r="D161" s="78" t="s">
        <v>106</v>
      </c>
      <c r="E161" s="79"/>
      <c r="F161" s="79"/>
      <c r="G161" s="67"/>
      <c r="H161" s="67"/>
      <c r="I161" s="67"/>
      <c r="J161" s="77"/>
    </row>
    <row r="162" spans="4:10">
      <c r="D162" s="82" t="s">
        <v>107</v>
      </c>
      <c r="E162" s="79">
        <v>0</v>
      </c>
      <c r="F162" s="79"/>
      <c r="G162" s="67"/>
      <c r="H162" s="67"/>
      <c r="I162" s="67"/>
      <c r="J162" s="77"/>
    </row>
    <row r="163" spans="4:10">
      <c r="D163" s="83"/>
      <c r="E163" s="79"/>
      <c r="F163" s="79"/>
      <c r="G163" s="67"/>
      <c r="H163" s="67"/>
      <c r="I163" s="67"/>
      <c r="J163" s="77"/>
    </row>
    <row r="164" spans="4:10">
      <c r="D164" s="84" t="s">
        <v>108</v>
      </c>
      <c r="E164" s="85">
        <f>SUM(E160:E163)</f>
        <v>100000000</v>
      </c>
      <c r="F164" s="86"/>
      <c r="G164" s="67"/>
      <c r="H164" s="67"/>
      <c r="I164" s="67"/>
      <c r="J164" s="77"/>
    </row>
    <row r="165" spans="4:10" ht="15.75" thickBot="1">
      <c r="D165" s="78" t="s">
        <v>119</v>
      </c>
      <c r="E165" s="87"/>
      <c r="F165" s="79"/>
      <c r="G165" s="67"/>
      <c r="H165" s="67"/>
      <c r="I165" s="67"/>
      <c r="J165" s="77"/>
    </row>
    <row r="166" spans="4:10" ht="15.75" thickTop="1">
      <c r="D166" s="78"/>
      <c r="E166" s="79">
        <f>SUM(E164:E165)</f>
        <v>100000000</v>
      </c>
      <c r="F166" s="79"/>
      <c r="G166" s="67"/>
      <c r="H166" s="67"/>
      <c r="I166" s="67"/>
      <c r="J166" s="77"/>
    </row>
    <row r="167" spans="4:10">
      <c r="D167" s="89"/>
      <c r="E167" s="90"/>
      <c r="F167" s="86"/>
      <c r="G167" s="67"/>
      <c r="H167" s="67"/>
      <c r="I167" s="67"/>
      <c r="J167" s="77"/>
    </row>
    <row r="168" spans="4:10">
      <c r="G168" s="67"/>
      <c r="H168" s="67"/>
      <c r="I168" s="67"/>
    </row>
    <row r="169" spans="4:10" ht="45">
      <c r="D169" s="94" t="s">
        <v>219</v>
      </c>
      <c r="E169" s="95" t="s">
        <v>109</v>
      </c>
      <c r="F169" s="95" t="s">
        <v>110</v>
      </c>
      <c r="G169" s="94" t="s">
        <v>111</v>
      </c>
      <c r="H169" s="94" t="s">
        <v>112</v>
      </c>
      <c r="I169" s="94" t="s">
        <v>113</v>
      </c>
      <c r="J169" s="94" t="s">
        <v>220</v>
      </c>
    </row>
    <row r="170" spans="4:10">
      <c r="D170" s="98" t="s">
        <v>117</v>
      </c>
      <c r="E170" s="99">
        <v>60</v>
      </c>
      <c r="F170" s="99">
        <f>+E170*12</f>
        <v>720</v>
      </c>
      <c r="G170" s="100">
        <f>+E166</f>
        <v>100000000</v>
      </c>
      <c r="H170" s="100">
        <v>12</v>
      </c>
      <c r="I170" s="101">
        <f>+G170/F170*H170</f>
        <v>1666666.6666666665</v>
      </c>
      <c r="J170" s="101">
        <f>+G170-I170</f>
        <v>98333333.333333328</v>
      </c>
    </row>
  </sheetData>
  <mergeCells count="12">
    <mergeCell ref="D159:E159"/>
    <mergeCell ref="D89:E89"/>
    <mergeCell ref="D102:E102"/>
    <mergeCell ref="D116:E116"/>
    <mergeCell ref="D129:E129"/>
    <mergeCell ref="D142:E142"/>
    <mergeCell ref="D5:E5"/>
    <mergeCell ref="D18:E18"/>
    <mergeCell ref="D31:E31"/>
    <mergeCell ref="D47:E47"/>
    <mergeCell ref="D60:E60"/>
    <mergeCell ref="D73:E73"/>
  </mergeCells>
  <pageMargins left="0.70866141732283472" right="0.70866141732283472" top="0.74803149606299213" bottom="0.74803149606299213" header="0.31496062992125984" footer="0.31496062992125984"/>
  <pageSetup scale="6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6"/>
  <sheetViews>
    <sheetView showGridLines="0" topLeftCell="A124" zoomScale="96" zoomScaleNormal="96" workbookViewId="0">
      <selection activeCell="D152" sqref="D152:E154"/>
    </sheetView>
  </sheetViews>
  <sheetFormatPr baseColWidth="10" defaultRowHeight="12.75"/>
  <cols>
    <col min="1" max="1" width="11.42578125" style="6"/>
    <col min="2" max="2" width="43.42578125" style="2" customWidth="1"/>
    <col min="3" max="3" width="44.140625" style="162" customWidth="1"/>
    <col min="4" max="5" width="15.42578125" style="2" bestFit="1" customWidth="1"/>
    <col min="6" max="6" width="28.85546875" style="2" customWidth="1"/>
    <col min="7" max="7" width="19.42578125" style="2" customWidth="1"/>
    <col min="8" max="8" width="11.85546875" style="2" bestFit="1" customWidth="1"/>
    <col min="9" max="9" width="22.5703125" style="2" bestFit="1" customWidth="1"/>
    <col min="10" max="16384" width="11.42578125" style="2"/>
  </cols>
  <sheetData>
    <row r="1" spans="1:5" ht="15">
      <c r="A1" s="3"/>
    </row>
    <row r="2" spans="1:5" ht="15">
      <c r="B2" s="337" t="s">
        <v>34</v>
      </c>
      <c r="C2" s="337"/>
      <c r="D2" s="337"/>
      <c r="E2" s="337"/>
    </row>
    <row r="3" spans="1:5" s="1" customFormat="1" ht="15.75" thickBot="1">
      <c r="A3" s="6"/>
      <c r="B3" s="337" t="s">
        <v>196</v>
      </c>
      <c r="C3" s="337"/>
      <c r="D3" s="337"/>
      <c r="E3" s="337"/>
    </row>
    <row r="4" spans="1:5">
      <c r="A4" s="28" t="s">
        <v>11</v>
      </c>
      <c r="B4" s="29" t="s">
        <v>12</v>
      </c>
      <c r="C4" s="163"/>
      <c r="D4" s="30" t="s">
        <v>5</v>
      </c>
      <c r="E4" s="31" t="s">
        <v>4</v>
      </c>
    </row>
    <row r="5" spans="1:5" ht="15">
      <c r="A5" s="32">
        <v>1</v>
      </c>
      <c r="B5" s="53" t="s">
        <v>80</v>
      </c>
      <c r="C5" s="164"/>
      <c r="D5" s="40">
        <v>57872800</v>
      </c>
      <c r="E5" s="39"/>
    </row>
    <row r="6" spans="1:5" ht="15">
      <c r="A6" s="32"/>
      <c r="B6" s="53" t="s">
        <v>46</v>
      </c>
      <c r="C6" s="165"/>
      <c r="D6" s="40">
        <v>19767000</v>
      </c>
      <c r="E6" s="40"/>
    </row>
    <row r="7" spans="1:5" ht="15">
      <c r="A7" s="32"/>
      <c r="B7" s="53" t="s">
        <v>48</v>
      </c>
      <c r="C7" s="165"/>
      <c r="D7" s="40">
        <v>45000000</v>
      </c>
      <c r="E7" s="40"/>
    </row>
    <row r="8" spans="1:5" ht="15">
      <c r="A8" s="32"/>
      <c r="B8" s="53" t="s">
        <v>101</v>
      </c>
      <c r="C8" s="165"/>
      <c r="D8" s="40">
        <v>35000000</v>
      </c>
      <c r="E8" s="40"/>
    </row>
    <row r="9" spans="1:5" ht="15">
      <c r="A9" s="32"/>
      <c r="B9" s="53" t="s">
        <v>49</v>
      </c>
      <c r="C9" s="165"/>
      <c r="D9" s="40">
        <v>350000000</v>
      </c>
      <c r="E9" s="40"/>
    </row>
    <row r="10" spans="1:5" ht="15">
      <c r="A10" s="32"/>
      <c r="B10" s="53" t="s">
        <v>102</v>
      </c>
      <c r="C10" s="165"/>
      <c r="D10" s="40">
        <v>14011000</v>
      </c>
      <c r="E10" s="40"/>
    </row>
    <row r="11" spans="1:5" ht="15">
      <c r="A11" s="32"/>
      <c r="B11" s="53" t="s">
        <v>50</v>
      </c>
      <c r="C11" s="165"/>
      <c r="D11" s="40">
        <v>11685000</v>
      </c>
      <c r="E11" s="40"/>
    </row>
    <row r="12" spans="1:5" ht="15">
      <c r="A12" s="32"/>
      <c r="B12" s="53" t="s">
        <v>47</v>
      </c>
      <c r="C12" s="165"/>
      <c r="D12" s="40">
        <v>21000000</v>
      </c>
      <c r="E12" s="40"/>
    </row>
    <row r="13" spans="1:5" ht="15">
      <c r="A13" s="32"/>
      <c r="B13" s="53" t="s">
        <v>52</v>
      </c>
      <c r="C13" s="165"/>
      <c r="D13" s="40">
        <v>180000000</v>
      </c>
      <c r="E13" s="40"/>
    </row>
    <row r="14" spans="1:5" ht="15">
      <c r="A14" s="32"/>
      <c r="B14" s="53" t="s">
        <v>375</v>
      </c>
      <c r="C14" s="165"/>
      <c r="D14" s="40">
        <v>420000000</v>
      </c>
      <c r="E14" s="40"/>
    </row>
    <row r="15" spans="1:5" ht="15">
      <c r="A15" s="32"/>
      <c r="B15" s="53" t="s">
        <v>381</v>
      </c>
      <c r="C15" s="165"/>
      <c r="D15" s="40">
        <v>5000000</v>
      </c>
      <c r="E15" s="40"/>
    </row>
    <row r="16" spans="1:5" ht="15">
      <c r="A16" s="32"/>
      <c r="B16" s="53" t="s">
        <v>81</v>
      </c>
      <c r="C16" s="165"/>
      <c r="D16" s="40">
        <v>12000000</v>
      </c>
      <c r="E16" s="40"/>
    </row>
    <row r="17" spans="1:5" ht="15">
      <c r="A17" s="32"/>
      <c r="B17" s="53" t="s">
        <v>73</v>
      </c>
      <c r="C17" s="53"/>
      <c r="D17" s="40">
        <v>30000000</v>
      </c>
      <c r="E17" s="40"/>
    </row>
    <row r="18" spans="1:5" ht="15">
      <c r="A18" s="32"/>
      <c r="B18" s="53" t="s">
        <v>74</v>
      </c>
      <c r="C18" s="53"/>
      <c r="D18" s="40">
        <v>150000000</v>
      </c>
      <c r="E18" s="40"/>
    </row>
    <row r="19" spans="1:5" ht="15">
      <c r="A19" s="32"/>
      <c r="B19" s="53" t="s">
        <v>76</v>
      </c>
      <c r="C19" s="53"/>
      <c r="D19" s="40">
        <v>100000000</v>
      </c>
      <c r="E19" s="40"/>
    </row>
    <row r="20" spans="1:5" ht="15">
      <c r="A20" s="32"/>
      <c r="B20" s="53"/>
      <c r="C20" s="53" t="s">
        <v>58</v>
      </c>
      <c r="D20" s="40">
        <v>0</v>
      </c>
      <c r="E20" s="40">
        <v>9000000</v>
      </c>
    </row>
    <row r="21" spans="1:5" ht="15">
      <c r="A21" s="32"/>
      <c r="B21" s="53"/>
      <c r="C21" s="53" t="s">
        <v>54</v>
      </c>
      <c r="D21" s="40"/>
      <c r="E21" s="40">
        <v>6880952.3809523806</v>
      </c>
    </row>
    <row r="22" spans="1:5" ht="15">
      <c r="A22" s="32"/>
      <c r="B22" s="53"/>
      <c r="C22" s="53" t="s">
        <v>91</v>
      </c>
      <c r="D22" s="40"/>
      <c r="E22" s="40">
        <v>100000000</v>
      </c>
    </row>
    <row r="23" spans="1:5" ht="15">
      <c r="A23" s="32"/>
      <c r="B23" s="53"/>
      <c r="C23" s="53" t="s">
        <v>55</v>
      </c>
      <c r="D23" s="40"/>
      <c r="E23" s="40">
        <v>16188000</v>
      </c>
    </row>
    <row r="24" spans="1:5" ht="15">
      <c r="A24" s="32"/>
      <c r="B24" s="53"/>
      <c r="C24" s="53" t="s">
        <v>6</v>
      </c>
      <c r="D24" s="40"/>
      <c r="E24" s="40">
        <v>186085000</v>
      </c>
    </row>
    <row r="25" spans="1:5" ht="15">
      <c r="A25" s="32"/>
      <c r="B25" s="53"/>
      <c r="C25" s="53" t="s">
        <v>57</v>
      </c>
      <c r="D25" s="40"/>
      <c r="E25" s="40">
        <v>18000000</v>
      </c>
    </row>
    <row r="26" spans="1:5" ht="15">
      <c r="A26" s="32"/>
      <c r="B26" s="53"/>
      <c r="C26" s="53" t="s">
        <v>100</v>
      </c>
      <c r="D26" s="40"/>
      <c r="E26" s="40">
        <v>1322800</v>
      </c>
    </row>
    <row r="27" spans="1:5" ht="15">
      <c r="A27" s="32"/>
      <c r="B27" s="53"/>
      <c r="C27" s="53" t="s">
        <v>60</v>
      </c>
      <c r="D27" s="40"/>
      <c r="E27" s="40">
        <v>110000</v>
      </c>
    </row>
    <row r="28" spans="1:5" ht="15">
      <c r="A28" s="32"/>
      <c r="B28" s="53"/>
      <c r="C28" s="53" t="s">
        <v>61</v>
      </c>
      <c r="D28" s="40"/>
      <c r="E28" s="40">
        <v>99425494.153846174</v>
      </c>
    </row>
    <row r="29" spans="1:5" ht="15">
      <c r="A29" s="32"/>
      <c r="B29" s="53"/>
      <c r="C29" s="53" t="s">
        <v>103</v>
      </c>
      <c r="D29" s="40"/>
      <c r="E29" s="40">
        <v>2556000</v>
      </c>
    </row>
    <row r="30" spans="1:5" ht="15">
      <c r="A30" s="32"/>
      <c r="B30" s="53"/>
      <c r="C30" s="53" t="s">
        <v>59</v>
      </c>
      <c r="D30" s="40"/>
      <c r="E30" s="40">
        <v>2016666.6666666665</v>
      </c>
    </row>
    <row r="31" spans="1:5" ht="15">
      <c r="A31" s="32"/>
      <c r="B31" s="53"/>
      <c r="C31" s="53" t="s">
        <v>89</v>
      </c>
      <c r="D31" s="40"/>
      <c r="E31" s="40">
        <v>1918100.2747252584</v>
      </c>
    </row>
    <row r="32" spans="1:5" ht="15">
      <c r="A32" s="32"/>
      <c r="B32" s="53"/>
      <c r="C32" s="53" t="s">
        <v>72</v>
      </c>
      <c r="D32" s="40"/>
      <c r="E32" s="40">
        <v>300000000</v>
      </c>
    </row>
    <row r="33" spans="1:9" ht="15">
      <c r="A33" s="142"/>
      <c r="B33" s="53"/>
      <c r="C33" s="53" t="s">
        <v>62</v>
      </c>
      <c r="D33" s="40"/>
      <c r="E33" s="40">
        <v>200000000</v>
      </c>
    </row>
    <row r="34" spans="1:9" ht="15">
      <c r="A34" s="142"/>
      <c r="B34" s="26"/>
      <c r="C34" s="53" t="s">
        <v>194</v>
      </c>
      <c r="D34" s="40"/>
      <c r="E34" s="40">
        <v>507832786.52380955</v>
      </c>
      <c r="F34" s="2">
        <f>SUM(D5:D34)</f>
        <v>1451335800</v>
      </c>
      <c r="G34" s="2">
        <f>SUM(E5:E34)</f>
        <v>1451335800</v>
      </c>
      <c r="I34" s="2">
        <f>+F34-G34</f>
        <v>0</v>
      </c>
    </row>
    <row r="35" spans="1:9" ht="15.75" customHeight="1" thickBot="1">
      <c r="A35" s="142"/>
      <c r="B35" s="563" t="s">
        <v>195</v>
      </c>
      <c r="C35" s="563"/>
      <c r="D35" s="563"/>
      <c r="E35" s="563"/>
    </row>
    <row r="36" spans="1:9">
      <c r="A36" s="145">
        <v>2</v>
      </c>
      <c r="B36" s="146" t="s">
        <v>198</v>
      </c>
      <c r="C36" s="169"/>
      <c r="D36" s="147">
        <f>+E34</f>
        <v>507832786.52380955</v>
      </c>
      <c r="E36" s="148"/>
    </row>
    <row r="37" spans="1:9">
      <c r="A37" s="152"/>
      <c r="B37" s="27"/>
      <c r="C37" s="161" t="s">
        <v>199</v>
      </c>
      <c r="D37" s="41"/>
      <c r="E37" s="42">
        <f>+D36</f>
        <v>507832786.52380955</v>
      </c>
    </row>
    <row r="38" spans="1:9" ht="15.75" customHeight="1" thickBot="1">
      <c r="A38" s="153"/>
      <c r="B38" s="332" t="s">
        <v>200</v>
      </c>
      <c r="C38" s="333"/>
      <c r="D38" s="333"/>
      <c r="E38" s="334"/>
    </row>
    <row r="39" spans="1:9">
      <c r="A39" s="145">
        <v>3</v>
      </c>
      <c r="B39" s="146" t="s">
        <v>7</v>
      </c>
      <c r="C39" s="167"/>
      <c r="D39" s="147">
        <f>+E23</f>
        <v>16188000</v>
      </c>
      <c r="E39" s="148"/>
    </row>
    <row r="40" spans="1:9">
      <c r="A40" s="149"/>
      <c r="B40" s="35" t="str">
        <f>+C29</f>
        <v>PROVISIÓN PPMO</v>
      </c>
      <c r="C40" s="166"/>
      <c r="D40" s="43">
        <f>+E29</f>
        <v>2556000</v>
      </c>
      <c r="E40" s="44"/>
    </row>
    <row r="41" spans="1:9">
      <c r="A41" s="149"/>
      <c r="B41" s="35" t="s">
        <v>206</v>
      </c>
      <c r="C41" s="168"/>
      <c r="D41" s="43">
        <f>+E27</f>
        <v>110000</v>
      </c>
      <c r="E41" s="44"/>
    </row>
    <row r="42" spans="1:9">
      <c r="A42" s="149"/>
      <c r="B42" s="35"/>
      <c r="C42" s="168" t="s">
        <v>14</v>
      </c>
      <c r="D42" s="43"/>
      <c r="E42" s="44">
        <f>+D11</f>
        <v>11685000</v>
      </c>
    </row>
    <row r="43" spans="1:9">
      <c r="A43" s="149"/>
      <c r="B43" s="35"/>
      <c r="C43" s="168" t="s">
        <v>201</v>
      </c>
      <c r="D43" s="43"/>
      <c r="E43" s="44">
        <f>18854000-E42</f>
        <v>7169000</v>
      </c>
    </row>
    <row r="44" spans="1:9">
      <c r="A44" s="149"/>
      <c r="B44" s="35"/>
      <c r="C44" s="168"/>
      <c r="D44" s="43"/>
      <c r="E44" s="43"/>
    </row>
    <row r="45" spans="1:9" ht="13.5" thickBot="1">
      <c r="A45" s="150"/>
      <c r="B45" s="332" t="s">
        <v>207</v>
      </c>
      <c r="C45" s="333"/>
      <c r="D45" s="333"/>
      <c r="E45" s="334"/>
    </row>
    <row r="46" spans="1:9">
      <c r="A46" s="145">
        <v>4</v>
      </c>
      <c r="B46" s="146" t="str">
        <f>+C26</f>
        <v>IMPOSICIONES POR PAGAR</v>
      </c>
      <c r="C46" s="169"/>
      <c r="D46" s="147">
        <f>+E26</f>
        <v>1322800</v>
      </c>
      <c r="E46" s="148"/>
    </row>
    <row r="47" spans="1:9">
      <c r="A47" s="149"/>
      <c r="B47" s="35"/>
      <c r="C47" s="168" t="s">
        <v>2</v>
      </c>
      <c r="D47" s="43"/>
      <c r="E47" s="44">
        <f>+D46</f>
        <v>1322800</v>
      </c>
    </row>
    <row r="48" spans="1:9">
      <c r="A48" s="149"/>
      <c r="B48" s="35"/>
      <c r="C48" s="166"/>
      <c r="D48" s="43"/>
      <c r="E48" s="44"/>
    </row>
    <row r="49" spans="1:9" ht="13.5" thickBot="1">
      <c r="A49" s="150"/>
      <c r="B49" s="332" t="s">
        <v>208</v>
      </c>
      <c r="C49" s="333"/>
      <c r="D49" s="333"/>
      <c r="E49" s="334"/>
    </row>
    <row r="50" spans="1:9">
      <c r="A50" s="36">
        <v>5</v>
      </c>
      <c r="B50" s="35" t="s">
        <v>202</v>
      </c>
      <c r="C50" s="168"/>
      <c r="D50" s="43">
        <f>+E52+E53-D51</f>
        <v>249900000</v>
      </c>
      <c r="E50" s="44"/>
    </row>
    <row r="51" spans="1:9">
      <c r="A51" s="36"/>
      <c r="B51" s="35" t="s">
        <v>16</v>
      </c>
      <c r="C51" s="168"/>
      <c r="D51" s="43">
        <f>(E52+E53)*70%</f>
        <v>583100000</v>
      </c>
      <c r="E51" s="44"/>
    </row>
    <row r="52" spans="1:9">
      <c r="A52" s="32"/>
      <c r="B52" s="27"/>
      <c r="C52" s="161" t="s">
        <v>71</v>
      </c>
      <c r="D52" s="41"/>
      <c r="E52" s="42">
        <v>700000000</v>
      </c>
    </row>
    <row r="53" spans="1:9">
      <c r="A53" s="32"/>
      <c r="B53" s="27"/>
      <c r="C53" s="161" t="s">
        <v>7</v>
      </c>
      <c r="D53" s="41"/>
      <c r="E53" s="42">
        <f>+E52*19%</f>
        <v>133000000</v>
      </c>
      <c r="I53" s="2">
        <f>+D9</f>
        <v>350000000</v>
      </c>
    </row>
    <row r="54" spans="1:9">
      <c r="A54" s="32"/>
      <c r="B54" s="27" t="s">
        <v>203</v>
      </c>
      <c r="C54" s="161"/>
      <c r="D54" s="41">
        <f>+D9*80%</f>
        <v>280000000</v>
      </c>
      <c r="E54" s="42"/>
      <c r="I54" s="2">
        <f>+E55</f>
        <v>280000000</v>
      </c>
    </row>
    <row r="55" spans="1:9">
      <c r="A55" s="32"/>
      <c r="B55" s="27"/>
      <c r="C55" s="165" t="s">
        <v>204</v>
      </c>
      <c r="D55" s="41"/>
      <c r="E55" s="42">
        <f>+D54</f>
        <v>280000000</v>
      </c>
      <c r="F55" s="2">
        <f>SUM(D50:D55)</f>
        <v>1113000000</v>
      </c>
      <c r="G55" s="2">
        <f>SUM(E50:E55)</f>
        <v>1113000000</v>
      </c>
      <c r="I55" s="2">
        <f>+I53-I54</f>
        <v>70000000</v>
      </c>
    </row>
    <row r="56" spans="1:9" ht="15.75" customHeight="1" thickBot="1">
      <c r="A56" s="34"/>
      <c r="B56" s="332" t="s">
        <v>8</v>
      </c>
      <c r="C56" s="333"/>
      <c r="D56" s="333"/>
      <c r="E56" s="334"/>
    </row>
    <row r="57" spans="1:9" ht="15.75" customHeight="1">
      <c r="A57" s="145">
        <v>6</v>
      </c>
      <c r="B57" s="146" t="s">
        <v>7</v>
      </c>
      <c r="C57" s="167"/>
      <c r="D57" s="147">
        <f>+E53</f>
        <v>133000000</v>
      </c>
      <c r="E57" s="148"/>
    </row>
    <row r="58" spans="1:9" ht="15.75" customHeight="1">
      <c r="A58" s="149"/>
      <c r="B58" s="35" t="s">
        <v>209</v>
      </c>
      <c r="C58" s="166"/>
      <c r="D58" s="43">
        <f>+E52*3%</f>
        <v>21000000</v>
      </c>
      <c r="E58" s="44"/>
    </row>
    <row r="59" spans="1:9" ht="15.75" customHeight="1">
      <c r="A59" s="149"/>
      <c r="B59" s="35"/>
      <c r="C59" s="168" t="s">
        <v>201</v>
      </c>
      <c r="D59" s="43"/>
      <c r="E59" s="44">
        <f>+D57+D58</f>
        <v>154000000</v>
      </c>
    </row>
    <row r="60" spans="1:9" ht="15.75" customHeight="1" thickBot="1">
      <c r="A60" s="151"/>
      <c r="B60" s="329" t="s">
        <v>210</v>
      </c>
      <c r="C60" s="330"/>
      <c r="D60" s="330"/>
      <c r="E60" s="331"/>
    </row>
    <row r="61" spans="1:9" ht="15.75" customHeight="1">
      <c r="A61" s="145">
        <v>7</v>
      </c>
      <c r="B61" s="146" t="s">
        <v>211</v>
      </c>
      <c r="C61" s="169"/>
      <c r="D61" s="147">
        <v>100000000</v>
      </c>
      <c r="E61" s="148"/>
    </row>
    <row r="62" spans="1:9" ht="15.75" customHeight="1">
      <c r="A62" s="152"/>
      <c r="B62" s="27"/>
      <c r="C62" s="161" t="s">
        <v>92</v>
      </c>
      <c r="D62" s="41"/>
      <c r="E62" s="42">
        <f>+D61</f>
        <v>100000000</v>
      </c>
    </row>
    <row r="63" spans="1:9" ht="15.75" customHeight="1" thickBot="1">
      <c r="A63" s="153"/>
      <c r="B63" s="154" t="s">
        <v>212</v>
      </c>
      <c r="C63" s="170"/>
      <c r="D63" s="154"/>
      <c r="E63" s="155"/>
    </row>
    <row r="64" spans="1:9" ht="15.75" customHeight="1">
      <c r="A64" s="145">
        <v>8</v>
      </c>
      <c r="B64" s="146" t="str">
        <f>+C62</f>
        <v>OBLIGACIONES POR LEASING</v>
      </c>
      <c r="C64" s="169"/>
      <c r="D64" s="147">
        <f>SUM('leasing 2023'!E14:E23)</f>
        <v>23267787.557504077</v>
      </c>
      <c r="E64" s="148"/>
      <c r="F64" s="146" t="str">
        <f>+B64</f>
        <v>OBLIGACIONES POR LEASING</v>
      </c>
      <c r="G64" s="169"/>
      <c r="H64" s="147">
        <f>+'leasing 2023'!E14</f>
        <v>2193206.8694816185</v>
      </c>
      <c r="I64" s="148"/>
    </row>
    <row r="65" spans="1:9" ht="15.75" customHeight="1">
      <c r="A65" s="152"/>
      <c r="B65" s="27" t="s">
        <v>213</v>
      </c>
      <c r="C65" s="161"/>
      <c r="D65" s="41">
        <f>SUM('leasing 2023'!D14:D23)</f>
        <v>11732212.442495923</v>
      </c>
      <c r="E65" s="42"/>
      <c r="F65" s="27" t="s">
        <v>213</v>
      </c>
      <c r="G65" s="161"/>
      <c r="H65" s="41">
        <f>+'leasing 2023'!D14</f>
        <v>1306793.1305183813</v>
      </c>
      <c r="I65" s="42"/>
    </row>
    <row r="66" spans="1:9" ht="15.75" customHeight="1">
      <c r="A66" s="156"/>
      <c r="B66" s="157" t="s">
        <v>14</v>
      </c>
      <c r="C66" s="171"/>
      <c r="D66" s="158">
        <f>(D64+D65)*19%</f>
        <v>6650000</v>
      </c>
      <c r="E66" s="159"/>
      <c r="F66" s="157" t="s">
        <v>14</v>
      </c>
      <c r="G66" s="171"/>
      <c r="H66" s="158">
        <f>(H64+H65)*19%</f>
        <v>665000</v>
      </c>
      <c r="I66" s="159"/>
    </row>
    <row r="67" spans="1:9" ht="15.75" customHeight="1">
      <c r="A67" s="156"/>
      <c r="B67" s="157"/>
      <c r="C67" s="171" t="s">
        <v>201</v>
      </c>
      <c r="D67" s="158"/>
      <c r="E67" s="159">
        <f>SUM(D64:D66)</f>
        <v>41650000</v>
      </c>
      <c r="F67" s="157"/>
      <c r="G67" s="171" t="s">
        <v>201</v>
      </c>
      <c r="H67" s="158"/>
      <c r="I67" s="159">
        <f>SUM(H64:H66)</f>
        <v>4165000</v>
      </c>
    </row>
    <row r="68" spans="1:9" ht="15.75" customHeight="1" thickBot="1">
      <c r="A68" s="142"/>
      <c r="B68" s="321" t="s">
        <v>214</v>
      </c>
      <c r="C68" s="561"/>
      <c r="D68" s="321"/>
      <c r="E68" s="321"/>
      <c r="F68" s="562" t="s">
        <v>306</v>
      </c>
      <c r="G68" s="170"/>
      <c r="H68" s="225"/>
      <c r="I68" s="226"/>
    </row>
    <row r="69" spans="1:9">
      <c r="A69" s="145">
        <v>9</v>
      </c>
      <c r="B69" s="146" t="s">
        <v>205</v>
      </c>
      <c r="C69" s="169"/>
      <c r="D69" s="147">
        <f>+E71/1.19</f>
        <v>1680672.2689075631</v>
      </c>
      <c r="E69" s="148"/>
    </row>
    <row r="70" spans="1:9">
      <c r="A70" s="152"/>
      <c r="B70" s="27" t="s">
        <v>14</v>
      </c>
      <c r="C70" s="161"/>
      <c r="D70" s="41">
        <f>+D69*19%</f>
        <v>319327.731092437</v>
      </c>
      <c r="E70" s="42"/>
    </row>
    <row r="71" spans="1:9">
      <c r="A71" s="152"/>
      <c r="B71" s="27"/>
      <c r="C71" s="161" t="s">
        <v>2</v>
      </c>
      <c r="D71" s="41"/>
      <c r="E71" s="42">
        <v>2000000</v>
      </c>
    </row>
    <row r="72" spans="1:9" ht="15.75" customHeight="1" thickBot="1">
      <c r="A72" s="153"/>
      <c r="B72" s="335" t="s">
        <v>217</v>
      </c>
      <c r="C72" s="335"/>
      <c r="D72" s="335"/>
      <c r="E72" s="336"/>
    </row>
    <row r="73" spans="1:9" ht="15.75" customHeight="1">
      <c r="A73" s="149">
        <v>10</v>
      </c>
      <c r="B73" s="35" t="str">
        <f>+C28</f>
        <v>PROVISIÓN IMPUESTO A LA RENTA</v>
      </c>
      <c r="C73" s="168"/>
      <c r="D73" s="43">
        <f>+E28</f>
        <v>99425494.153846174</v>
      </c>
      <c r="E73" s="44"/>
    </row>
    <row r="74" spans="1:9" ht="15.75" customHeight="1">
      <c r="A74" s="152"/>
      <c r="B74" s="27"/>
      <c r="C74" s="161" t="str">
        <f>+B10</f>
        <v>PPMO</v>
      </c>
      <c r="D74" s="41"/>
      <c r="E74" s="42">
        <f>+D10</f>
        <v>14011000</v>
      </c>
    </row>
    <row r="75" spans="1:9" ht="15.75" customHeight="1">
      <c r="A75" s="156"/>
      <c r="B75" s="157"/>
      <c r="C75" s="171" t="s">
        <v>201</v>
      </c>
      <c r="D75" s="158"/>
      <c r="E75" s="159">
        <f>+D73-E74</f>
        <v>85414494.153846174</v>
      </c>
    </row>
    <row r="76" spans="1:9" ht="15.75" customHeight="1" thickBot="1">
      <c r="A76" s="153"/>
      <c r="B76" s="322" t="s">
        <v>544</v>
      </c>
      <c r="C76" s="170"/>
      <c r="D76" s="322"/>
      <c r="E76" s="323"/>
    </row>
    <row r="77" spans="1:9" ht="15.75" customHeight="1">
      <c r="A77" s="149">
        <v>11</v>
      </c>
      <c r="B77" s="35" t="s">
        <v>215</v>
      </c>
      <c r="C77" s="168"/>
      <c r="D77" s="43">
        <f>+D69/12*8</f>
        <v>1120448.1792717087</v>
      </c>
      <c r="E77" s="44"/>
    </row>
    <row r="78" spans="1:9" ht="15.75" customHeight="1">
      <c r="A78" s="152"/>
      <c r="B78" s="27"/>
      <c r="C78" s="161" t="s">
        <v>205</v>
      </c>
      <c r="D78" s="41"/>
      <c r="E78" s="42">
        <f>+D77</f>
        <v>1120448.1792717087</v>
      </c>
    </row>
    <row r="79" spans="1:9" ht="15.75" customHeight="1" thickBot="1">
      <c r="A79" s="153"/>
      <c r="B79" s="335" t="s">
        <v>216</v>
      </c>
      <c r="C79" s="335"/>
      <c r="D79" s="335"/>
      <c r="E79" s="336"/>
    </row>
    <row r="80" spans="1:9" ht="15.75" customHeight="1">
      <c r="A80" s="149">
        <v>12</v>
      </c>
      <c r="B80" s="35" t="s">
        <v>199</v>
      </c>
      <c r="C80" s="168"/>
      <c r="D80" s="43">
        <f>+E37*30%</f>
        <v>152349835.95714286</v>
      </c>
      <c r="E80" s="44"/>
    </row>
    <row r="81" spans="1:8" ht="15.75" customHeight="1">
      <c r="A81" s="149"/>
      <c r="B81" s="35"/>
      <c r="C81" s="168" t="s">
        <v>221</v>
      </c>
      <c r="D81" s="43"/>
      <c r="E81" s="44">
        <f>+D80</f>
        <v>152349835.95714286</v>
      </c>
    </row>
    <row r="82" spans="1:8" ht="15.75" customHeight="1" thickBot="1">
      <c r="A82" s="153"/>
      <c r="B82" s="335" t="s">
        <v>222</v>
      </c>
      <c r="C82" s="335"/>
      <c r="D82" s="335"/>
      <c r="E82" s="336"/>
    </row>
    <row r="83" spans="1:8" ht="15.75" customHeight="1">
      <c r="A83" s="149">
        <v>13</v>
      </c>
      <c r="B83" s="35" t="str">
        <f>+C81</f>
        <v>DIVIDENDOS POR PAGAR</v>
      </c>
      <c r="C83" s="168"/>
      <c r="D83" s="43">
        <f>+E84</f>
        <v>100000000</v>
      </c>
      <c r="E83" s="44"/>
    </row>
    <row r="84" spans="1:8" ht="15.75" customHeight="1">
      <c r="A84" s="149"/>
      <c r="B84" s="35"/>
      <c r="C84" s="168" t="str">
        <f>+B19</f>
        <v>DIVIDENDOS PROVISORIOS</v>
      </c>
      <c r="D84" s="43"/>
      <c r="E84" s="44">
        <f>+D19</f>
        <v>100000000</v>
      </c>
    </row>
    <row r="85" spans="1:8" ht="15.75" customHeight="1" thickBot="1">
      <c r="A85" s="153"/>
      <c r="B85" s="335" t="s">
        <v>223</v>
      </c>
      <c r="C85" s="335"/>
      <c r="D85" s="335"/>
      <c r="E85" s="336"/>
    </row>
    <row r="86" spans="1:8">
      <c r="A86" s="145">
        <v>14</v>
      </c>
      <c r="B86" s="146" t="s">
        <v>16</v>
      </c>
      <c r="C86" s="169"/>
      <c r="D86" s="147">
        <v>100000000</v>
      </c>
      <c r="E86" s="148"/>
      <c r="G86" s="2">
        <f>+D8</f>
        <v>35000000</v>
      </c>
      <c r="H86" s="2">
        <f>+D50</f>
        <v>249900000</v>
      </c>
    </row>
    <row r="87" spans="1:8">
      <c r="A87" s="152"/>
      <c r="B87" s="27"/>
      <c r="C87" s="161" t="str">
        <f>+B50</f>
        <v>DEUDORES POR VENTAS</v>
      </c>
      <c r="D87" s="41"/>
      <c r="E87" s="42">
        <f>+D86</f>
        <v>100000000</v>
      </c>
      <c r="H87" s="2">
        <f>+D86</f>
        <v>100000000</v>
      </c>
    </row>
    <row r="88" spans="1:8" ht="15.75" customHeight="1" thickBot="1">
      <c r="A88" s="153"/>
      <c r="B88" s="332" t="s">
        <v>549</v>
      </c>
      <c r="C88" s="333"/>
      <c r="D88" s="333"/>
      <c r="E88" s="334"/>
      <c r="G88" s="2">
        <f>+G86-G87</f>
        <v>35000000</v>
      </c>
      <c r="H88" s="2">
        <f>+H86-H87</f>
        <v>149900000</v>
      </c>
    </row>
    <row r="89" spans="1:8">
      <c r="A89" s="145">
        <v>15</v>
      </c>
      <c r="B89" s="146" t="s">
        <v>224</v>
      </c>
      <c r="C89" s="169"/>
      <c r="D89" s="147">
        <v>50000000</v>
      </c>
      <c r="E89" s="148"/>
    </row>
    <row r="90" spans="1:8">
      <c r="A90" s="152"/>
      <c r="B90" s="27"/>
      <c r="C90" s="161" t="s">
        <v>16</v>
      </c>
      <c r="D90" s="41"/>
      <c r="E90" s="42">
        <f>+D89</f>
        <v>50000000</v>
      </c>
    </row>
    <row r="91" spans="1:8" ht="15.75" customHeight="1" thickBot="1">
      <c r="A91" s="153"/>
      <c r="B91" s="332" t="s">
        <v>225</v>
      </c>
      <c r="C91" s="333"/>
      <c r="D91" s="333"/>
      <c r="E91" s="334"/>
    </row>
    <row r="92" spans="1:8">
      <c r="A92" s="36"/>
      <c r="B92" s="35" t="s">
        <v>16</v>
      </c>
      <c r="C92" s="168"/>
      <c r="D92" s="43">
        <f>+E93+E94</f>
        <v>45520000</v>
      </c>
      <c r="E92" s="44"/>
    </row>
    <row r="93" spans="1:8">
      <c r="A93" s="32">
        <v>16</v>
      </c>
      <c r="B93" s="27"/>
      <c r="C93" s="161" t="str">
        <f>+B7</f>
        <v>DEPÓSITOS A PLAZO</v>
      </c>
      <c r="D93" s="41"/>
      <c r="E93" s="42">
        <f>+D7</f>
        <v>45000000</v>
      </c>
    </row>
    <row r="94" spans="1:8">
      <c r="A94" s="32"/>
      <c r="B94" s="27"/>
      <c r="C94" s="161" t="s">
        <v>17</v>
      </c>
      <c r="D94" s="41"/>
      <c r="E94" s="42">
        <v>520000</v>
      </c>
    </row>
    <row r="95" spans="1:8" ht="15.75" customHeight="1" thickBot="1">
      <c r="A95" s="34"/>
      <c r="B95" s="332" t="s">
        <v>226</v>
      </c>
      <c r="C95" s="333"/>
      <c r="D95" s="333"/>
      <c r="E95" s="334"/>
    </row>
    <row r="96" spans="1:8">
      <c r="A96" s="36"/>
      <c r="B96" s="35" t="str">
        <f>+'balance 2022 final '!B44</f>
        <v>REMUNERACIONES</v>
      </c>
      <c r="C96" s="168"/>
      <c r="D96" s="43">
        <f>+'prov vacaciones 2022 y 2023'!G28</f>
        <v>66000000</v>
      </c>
      <c r="E96" s="44"/>
    </row>
    <row r="97" spans="1:5">
      <c r="A97" s="32">
        <v>17</v>
      </c>
      <c r="B97" s="35" t="str">
        <f>+'balance 2022 final '!B45</f>
        <v>APORTE EMPRESA</v>
      </c>
      <c r="C97" s="161"/>
      <c r="D97" s="41">
        <f>+'prov vacaciones 2022 y 2023'!G29</f>
        <v>3300000</v>
      </c>
      <c r="E97" s="42"/>
    </row>
    <row r="98" spans="1:5">
      <c r="A98" s="32"/>
      <c r="B98" s="27"/>
      <c r="C98" s="161" t="str">
        <f>+C26</f>
        <v>IMPOSICIONES POR PAGAR</v>
      </c>
      <c r="D98" s="41"/>
      <c r="E98" s="42">
        <f>+'prov vacaciones 2022 y 2023'!H30</f>
        <v>15840000</v>
      </c>
    </row>
    <row r="99" spans="1:5">
      <c r="A99" s="32"/>
      <c r="B99" s="27"/>
      <c r="C99" s="161" t="str">
        <f>+'balance 2023 '!B31</f>
        <v>REMUNERACIONES POR PAGAR</v>
      </c>
      <c r="D99" s="41"/>
      <c r="E99" s="42">
        <f>+D96+D97-E98</f>
        <v>53460000</v>
      </c>
    </row>
    <row r="100" spans="1:5" ht="15.75" customHeight="1" thickBot="1">
      <c r="A100" s="34"/>
      <c r="B100" s="332" t="s">
        <v>227</v>
      </c>
      <c r="C100" s="333"/>
      <c r="D100" s="333"/>
      <c r="E100" s="334"/>
    </row>
    <row r="101" spans="1:5">
      <c r="A101" s="32">
        <v>18</v>
      </c>
      <c r="B101" s="27" t="str">
        <f>+C30</f>
        <v>PROVISIÓN VACACIONES</v>
      </c>
      <c r="C101" s="161"/>
      <c r="D101" s="41">
        <f>+'prov vacaciones 2022 y 2023'!G33</f>
        <v>2016666.6666666665</v>
      </c>
      <c r="E101" s="42"/>
    </row>
    <row r="102" spans="1:5">
      <c r="A102" s="32"/>
      <c r="B102" s="27"/>
      <c r="C102" s="161" t="str">
        <f>+B96</f>
        <v>REMUNERACIONES</v>
      </c>
      <c r="D102" s="41"/>
      <c r="E102" s="42">
        <f>+D101</f>
        <v>2016666.6666666665</v>
      </c>
    </row>
    <row r="103" spans="1:5" ht="15.75" customHeight="1" thickBot="1">
      <c r="A103" s="34"/>
      <c r="B103" s="332" t="s">
        <v>228</v>
      </c>
      <c r="C103" s="333"/>
      <c r="D103" s="333"/>
      <c r="E103" s="334"/>
    </row>
    <row r="104" spans="1:5">
      <c r="A104" s="32">
        <v>19</v>
      </c>
      <c r="B104" s="27" t="str">
        <f>+C99</f>
        <v>REMUNERACIONES POR PAGAR</v>
      </c>
      <c r="C104" s="161"/>
      <c r="D104" s="41">
        <f>+E99</f>
        <v>53460000</v>
      </c>
      <c r="E104" s="42"/>
    </row>
    <row r="105" spans="1:5">
      <c r="A105" s="32"/>
      <c r="B105" s="27" t="str">
        <f>+C98</f>
        <v>IMPOSICIONES POR PAGAR</v>
      </c>
      <c r="C105" s="161"/>
      <c r="D105" s="41">
        <f>+E98-1320000</f>
        <v>14520000</v>
      </c>
      <c r="E105" s="42"/>
    </row>
    <row r="106" spans="1:5">
      <c r="A106" s="32"/>
      <c r="B106" s="27"/>
      <c r="C106" s="165" t="s">
        <v>16</v>
      </c>
      <c r="D106" s="45"/>
      <c r="E106" s="46">
        <f>+D104+D105</f>
        <v>67980000</v>
      </c>
    </row>
    <row r="107" spans="1:5" ht="15.75" customHeight="1" thickBot="1">
      <c r="A107" s="34"/>
      <c r="B107" s="332" t="s">
        <v>229</v>
      </c>
      <c r="C107" s="333"/>
      <c r="D107" s="333"/>
      <c r="E107" s="334"/>
    </row>
    <row r="108" spans="1:5">
      <c r="A108" s="36"/>
      <c r="B108" s="35" t="s">
        <v>2</v>
      </c>
      <c r="C108" s="168"/>
      <c r="D108" s="43">
        <f>+E109+E110</f>
        <v>1190000</v>
      </c>
      <c r="E108" s="44"/>
    </row>
    <row r="109" spans="1:5">
      <c r="A109" s="33">
        <v>20</v>
      </c>
      <c r="B109" s="27"/>
      <c r="C109" s="161" t="s">
        <v>88</v>
      </c>
      <c r="D109" s="41"/>
      <c r="E109" s="42">
        <v>1000000</v>
      </c>
    </row>
    <row r="110" spans="1:5">
      <c r="A110" s="33"/>
      <c r="B110" s="27"/>
      <c r="C110" s="161" t="s">
        <v>55</v>
      </c>
      <c r="D110" s="41"/>
      <c r="E110" s="42">
        <f>+E109*19%</f>
        <v>190000</v>
      </c>
    </row>
    <row r="111" spans="1:5" ht="15.75" customHeight="1" thickBot="1">
      <c r="A111" s="37"/>
      <c r="B111" s="332" t="s">
        <v>230</v>
      </c>
      <c r="C111" s="333"/>
      <c r="D111" s="333"/>
      <c r="E111" s="334"/>
    </row>
    <row r="112" spans="1:5">
      <c r="A112" s="145">
        <v>21</v>
      </c>
      <c r="B112" s="146" t="s">
        <v>82</v>
      </c>
      <c r="C112" s="169"/>
      <c r="D112" s="147">
        <f>+I55*3.5%</f>
        <v>2450000.0000000005</v>
      </c>
      <c r="E112" s="148"/>
    </row>
    <row r="113" spans="1:7">
      <c r="A113" s="152"/>
      <c r="B113" s="27"/>
      <c r="C113" s="161" t="s">
        <v>204</v>
      </c>
      <c r="D113" s="41"/>
      <c r="E113" s="42">
        <f>+D112</f>
        <v>2450000.0000000005</v>
      </c>
    </row>
    <row r="114" spans="1:7" ht="15.75" customHeight="1" thickBot="1">
      <c r="A114" s="153"/>
      <c r="B114" s="332" t="s">
        <v>370</v>
      </c>
      <c r="C114" s="333"/>
      <c r="D114" s="333"/>
      <c r="E114" s="334"/>
    </row>
    <row r="115" spans="1:7">
      <c r="A115" s="38"/>
      <c r="B115" s="35"/>
      <c r="C115" s="168"/>
      <c r="D115" s="43"/>
      <c r="E115" s="44"/>
      <c r="G115" s="7"/>
    </row>
    <row r="116" spans="1:7">
      <c r="A116" s="33">
        <v>22</v>
      </c>
      <c r="B116" s="27" t="s">
        <v>18</v>
      </c>
      <c r="C116" s="161"/>
      <c r="D116" s="41">
        <v>850000</v>
      </c>
      <c r="E116" s="42"/>
    </row>
    <row r="117" spans="1:7">
      <c r="A117" s="33"/>
      <c r="B117" s="27"/>
      <c r="C117" s="161" t="s">
        <v>204</v>
      </c>
      <c r="D117" s="41"/>
      <c r="E117" s="42">
        <f>+D116</f>
        <v>850000</v>
      </c>
    </row>
    <row r="118" spans="1:7" ht="15.75" customHeight="1" thickBot="1">
      <c r="A118" s="37"/>
      <c r="B118" s="332" t="s">
        <v>371</v>
      </c>
      <c r="C118" s="333"/>
      <c r="D118" s="333"/>
      <c r="E118" s="334"/>
    </row>
    <row r="119" spans="1:7">
      <c r="A119" s="32">
        <v>23</v>
      </c>
      <c r="B119" s="27" t="str">
        <f>+'balance 2022 final '!B54</f>
        <v>GASTOS DEUDORES INCOBRABLES</v>
      </c>
      <c r="C119" s="161"/>
      <c r="D119" s="41">
        <f>+H88*2.5%</f>
        <v>3747500</v>
      </c>
      <c r="E119" s="42"/>
    </row>
    <row r="120" spans="1:7">
      <c r="A120" s="32"/>
      <c r="B120" s="27"/>
      <c r="C120" s="161" t="str">
        <f>+'balance 2023 '!B10</f>
        <v>ESTIMACIÓN DEUDORES INCOBRABLES</v>
      </c>
      <c r="D120" s="41"/>
      <c r="E120" s="42">
        <f>+D119</f>
        <v>3747500</v>
      </c>
    </row>
    <row r="121" spans="1:7" ht="15.75" customHeight="1" thickBot="1">
      <c r="A121" s="34"/>
      <c r="B121" s="332" t="s">
        <v>231</v>
      </c>
      <c r="C121" s="333"/>
      <c r="D121" s="333"/>
      <c r="E121" s="334"/>
    </row>
    <row r="122" spans="1:7" ht="15.75" customHeight="1">
      <c r="A122" s="32">
        <v>24</v>
      </c>
      <c r="B122" s="53" t="s">
        <v>95</v>
      </c>
      <c r="C122" s="161"/>
      <c r="D122" s="41">
        <v>790000</v>
      </c>
      <c r="E122" s="42"/>
    </row>
    <row r="123" spans="1:7" ht="15.75" customHeight="1">
      <c r="A123" s="32"/>
      <c r="B123" s="27"/>
      <c r="C123" s="161" t="str">
        <f>+'balance 2023 '!B36</f>
        <v>PROVISIÓN DE INSUMOS  GENERALES</v>
      </c>
      <c r="D123" s="41"/>
      <c r="E123" s="42">
        <f>+D122</f>
        <v>790000</v>
      </c>
    </row>
    <row r="124" spans="1:7" ht="15.75" customHeight="1" thickBot="1">
      <c r="A124" s="34"/>
      <c r="B124" s="332" t="s">
        <v>550</v>
      </c>
      <c r="C124" s="333"/>
      <c r="D124" s="333"/>
      <c r="E124" s="334"/>
    </row>
    <row r="125" spans="1:7">
      <c r="A125" s="32">
        <v>25</v>
      </c>
      <c r="B125" s="27" t="s">
        <v>232</v>
      </c>
      <c r="C125" s="161"/>
      <c r="D125" s="41">
        <v>5600000</v>
      </c>
      <c r="E125" s="42"/>
    </row>
    <row r="126" spans="1:7">
      <c r="A126" s="32"/>
      <c r="B126" s="27"/>
      <c r="C126" s="165" t="s">
        <v>16</v>
      </c>
      <c r="D126" s="45"/>
      <c r="E126" s="46">
        <f>+D125</f>
        <v>5600000</v>
      </c>
    </row>
    <row r="127" spans="1:7" ht="15.75" customHeight="1" thickBot="1">
      <c r="A127" s="34"/>
      <c r="B127" s="332" t="s">
        <v>551</v>
      </c>
      <c r="C127" s="333"/>
      <c r="D127" s="333"/>
      <c r="E127" s="334"/>
    </row>
    <row r="128" spans="1:7" ht="15.75" customHeight="1">
      <c r="A128" s="145">
        <v>26</v>
      </c>
      <c r="B128" s="146" t="s">
        <v>6</v>
      </c>
      <c r="C128" s="169"/>
      <c r="D128" s="147">
        <f>+E24</f>
        <v>186085000</v>
      </c>
      <c r="E128" s="148"/>
    </row>
    <row r="129" spans="1:5" ht="15.75" customHeight="1">
      <c r="A129" s="152"/>
      <c r="B129" s="27"/>
      <c r="C129" s="165" t="s">
        <v>16</v>
      </c>
      <c r="D129" s="45"/>
      <c r="E129" s="46">
        <f>+D128</f>
        <v>186085000</v>
      </c>
    </row>
    <row r="130" spans="1:5" ht="15.75" customHeight="1" thickBot="1">
      <c r="A130" s="153"/>
      <c r="B130" s="332" t="s">
        <v>334</v>
      </c>
      <c r="C130" s="333"/>
      <c r="D130" s="333"/>
      <c r="E130" s="334"/>
    </row>
    <row r="131" spans="1:5" ht="15.75" customHeight="1">
      <c r="A131" s="149">
        <v>27</v>
      </c>
      <c r="B131" s="35" t="str">
        <f>+'balance 2023 '!B30</f>
        <v>DIVIDENDO POR PAGAR</v>
      </c>
      <c r="C131" s="168"/>
      <c r="D131" s="43">
        <f>+E81-D83</f>
        <v>52349835.95714286</v>
      </c>
      <c r="E131" s="44"/>
    </row>
    <row r="132" spans="1:5" ht="15.75" customHeight="1">
      <c r="A132" s="149"/>
      <c r="B132" s="35"/>
      <c r="C132" s="168" t="s">
        <v>16</v>
      </c>
      <c r="D132" s="43"/>
      <c r="E132" s="44">
        <f>+D131</f>
        <v>52349835.95714286</v>
      </c>
    </row>
    <row r="133" spans="1:5" ht="15.75" customHeight="1" thickBot="1">
      <c r="A133" s="153"/>
      <c r="B133" s="335" t="s">
        <v>341</v>
      </c>
      <c r="C133" s="335"/>
      <c r="D133" s="335"/>
      <c r="E133" s="336"/>
    </row>
    <row r="134" spans="1:5" ht="15.75" customHeight="1">
      <c r="A134" s="149">
        <v>28</v>
      </c>
      <c r="B134" s="35" t="s">
        <v>16</v>
      </c>
      <c r="C134" s="168"/>
      <c r="D134" s="43">
        <f>+D18</f>
        <v>150000000</v>
      </c>
      <c r="E134" s="44"/>
    </row>
    <row r="135" spans="1:5" ht="15.75" customHeight="1">
      <c r="A135" s="149"/>
      <c r="B135" s="35"/>
      <c r="C135" s="168" t="str">
        <f>+'balance 2023 '!B42</f>
        <v>ACCIONES SUSCRITAS</v>
      </c>
      <c r="D135" s="43"/>
      <c r="E135" s="44">
        <f>+D134</f>
        <v>150000000</v>
      </c>
    </row>
    <row r="136" spans="1:5" ht="15.75" customHeight="1" thickBot="1">
      <c r="A136" s="153"/>
      <c r="B136" s="335" t="s">
        <v>372</v>
      </c>
      <c r="C136" s="335"/>
      <c r="D136" s="335"/>
      <c r="E136" s="336"/>
    </row>
    <row r="137" spans="1:5">
      <c r="A137" s="36">
        <v>29</v>
      </c>
      <c r="B137" s="35" t="str">
        <f>+'balance 2023 '!B64</f>
        <v>DEPRECIACIÓN FINANCIERA DEL EJERCICIO</v>
      </c>
      <c r="C137" s="168"/>
      <c r="D137" s="43">
        <f>+'activo no corriente 2023'!I16+'activo no corriente 2023'!I58+'activo no corriente 2023'!I127</f>
        <v>6880952.3809523806</v>
      </c>
      <c r="E137" s="44"/>
    </row>
    <row r="138" spans="1:5">
      <c r="A138" s="32"/>
      <c r="B138" s="35" t="str">
        <f>+'balance 2023 '!B65</f>
        <v>DEPRECIACIÓN LEASING DEL EJERCICIO</v>
      </c>
      <c r="C138" s="161"/>
      <c r="D138" s="41">
        <f>+'activo no corriente 2023'!I170</f>
        <v>1666666.6666666665</v>
      </c>
      <c r="E138" s="42"/>
    </row>
    <row r="139" spans="1:5">
      <c r="A139" s="32"/>
      <c r="B139" s="27"/>
      <c r="C139" s="161" t="str">
        <f>+'balance 2023 '!B23</f>
        <v>DEPRECIACIONES ACUMULADAS</v>
      </c>
      <c r="D139" s="41"/>
      <c r="E139" s="42">
        <f>+D137</f>
        <v>6880952.3809523806</v>
      </c>
    </row>
    <row r="140" spans="1:5">
      <c r="A140" s="32"/>
      <c r="B140" s="27"/>
      <c r="C140" s="161" t="str">
        <f>+'balance 2023 '!B24</f>
        <v>DEPRECIACIONES ACUMULADAS EN LEASING</v>
      </c>
      <c r="D140" s="45"/>
      <c r="E140" s="46">
        <f>+D138</f>
        <v>1666666.6666666665</v>
      </c>
    </row>
    <row r="141" spans="1:5" ht="15.75" customHeight="1" thickBot="1">
      <c r="A141" s="142"/>
      <c r="B141" s="329" t="s">
        <v>20</v>
      </c>
      <c r="C141" s="330"/>
      <c r="D141" s="330"/>
      <c r="E141" s="331"/>
    </row>
    <row r="142" spans="1:5" ht="15.75" customHeight="1">
      <c r="A142" s="145">
        <v>30</v>
      </c>
      <c r="B142" s="146" t="s">
        <v>102</v>
      </c>
      <c r="C142" s="167"/>
      <c r="D142" s="147">
        <v>410000</v>
      </c>
      <c r="E142" s="148"/>
    </row>
    <row r="143" spans="1:5" ht="15.75" customHeight="1">
      <c r="A143" s="149"/>
      <c r="B143" s="35"/>
      <c r="C143" s="168" t="s">
        <v>78</v>
      </c>
      <c r="D143" s="43">
        <f>+E138*1%</f>
        <v>0</v>
      </c>
      <c r="E143" s="44">
        <f>+D142</f>
        <v>410000</v>
      </c>
    </row>
    <row r="144" spans="1:5" ht="15.75" customHeight="1" thickBot="1">
      <c r="A144" s="150"/>
      <c r="B144" s="332" t="s">
        <v>338</v>
      </c>
      <c r="C144" s="333"/>
      <c r="D144" s="333"/>
      <c r="E144" s="334"/>
    </row>
    <row r="145" spans="1:5" ht="15.75" customHeight="1">
      <c r="A145" s="145">
        <v>31</v>
      </c>
      <c r="B145" s="146" t="s">
        <v>234</v>
      </c>
      <c r="C145" s="169"/>
      <c r="D145" s="147">
        <f>+'prov vacaciones 2022 y 2023'!G36</f>
        <v>2450000</v>
      </c>
      <c r="E145" s="148"/>
    </row>
    <row r="146" spans="1:5" ht="15.75" customHeight="1">
      <c r="A146" s="152"/>
      <c r="B146" s="27"/>
      <c r="C146" s="161" t="str">
        <f>+'balance 2023 '!B38</f>
        <v>PROVISIÓN VACACIONES</v>
      </c>
      <c r="D146" s="41"/>
      <c r="E146" s="42">
        <f>+D145</f>
        <v>2450000</v>
      </c>
    </row>
    <row r="147" spans="1:5" ht="15.75" customHeight="1" thickBot="1">
      <c r="A147" s="153"/>
      <c r="B147" s="332" t="s">
        <v>235</v>
      </c>
      <c r="C147" s="333"/>
      <c r="D147" s="333"/>
      <c r="E147" s="334"/>
    </row>
    <row r="148" spans="1:5" ht="15.75" customHeight="1">
      <c r="A148" s="32">
        <v>32</v>
      </c>
      <c r="B148" s="27" t="str">
        <f>+'balance 2023 '!B58</f>
        <v>GASTOS DEUDORES INCOBRABLES</v>
      </c>
      <c r="C148" s="161"/>
      <c r="D148" s="41">
        <f>+E150-D149</f>
        <v>26000000</v>
      </c>
      <c r="E148" s="42"/>
    </row>
    <row r="149" spans="1:5" ht="15.75" customHeight="1">
      <c r="A149" s="32"/>
      <c r="B149" s="27" t="str">
        <f>+'balance 2023 '!B10</f>
        <v>ESTIMACIÓN DEUDORES INCOBRABLES</v>
      </c>
      <c r="C149" s="161"/>
      <c r="D149" s="41">
        <f>+E20</f>
        <v>9000000</v>
      </c>
      <c r="E149" s="42"/>
    </row>
    <row r="150" spans="1:5" ht="15.75" customHeight="1">
      <c r="A150" s="32"/>
      <c r="B150" s="27"/>
      <c r="C150" s="161" t="s">
        <v>101</v>
      </c>
      <c r="D150" s="41"/>
      <c r="E150" s="42">
        <f>+D8</f>
        <v>35000000</v>
      </c>
    </row>
    <row r="151" spans="1:5" ht="15.75" customHeight="1" thickBot="1">
      <c r="A151" s="151"/>
      <c r="B151" s="275" t="s">
        <v>339</v>
      </c>
      <c r="C151" s="143"/>
      <c r="D151" s="143"/>
      <c r="E151" s="144"/>
    </row>
    <row r="152" spans="1:5" ht="15.75" customHeight="1">
      <c r="A152" s="145">
        <v>33</v>
      </c>
      <c r="B152" s="267" t="s">
        <v>68</v>
      </c>
      <c r="C152" s="267"/>
      <c r="D152" s="268">
        <v>41943606.758584037</v>
      </c>
      <c r="E152" s="269"/>
    </row>
    <row r="153" spans="1:5" ht="15.75" customHeight="1">
      <c r="A153" s="270"/>
      <c r="B153" s="24" t="s">
        <v>89</v>
      </c>
      <c r="C153" s="24"/>
      <c r="D153" s="243">
        <v>958266.84065935016</v>
      </c>
      <c r="E153" s="271"/>
    </row>
    <row r="154" spans="1:5" ht="15.75" customHeight="1" thickBot="1">
      <c r="A154" s="272"/>
      <c r="B154" s="273"/>
      <c r="C154" s="273" t="s">
        <v>335</v>
      </c>
      <c r="D154" s="273"/>
      <c r="E154" s="274">
        <v>42901873.599243388</v>
      </c>
    </row>
    <row r="155" spans="1:5" ht="13.5" thickBot="1">
      <c r="B155" s="25" t="s">
        <v>0</v>
      </c>
      <c r="C155" s="172"/>
      <c r="D155" s="265">
        <f>SUM(D5:D141)+D145</f>
        <v>4491767786.4854994</v>
      </c>
      <c r="E155" s="266">
        <f>SUM(E5:E141)+E146</f>
        <v>4491767786.4854994</v>
      </c>
    </row>
    <row r="156" spans="1:5">
      <c r="E156" s="2">
        <f>+D155-E155</f>
        <v>0</v>
      </c>
    </row>
  </sheetData>
  <mergeCells count="30">
    <mergeCell ref="B147:E147"/>
    <mergeCell ref="B124:E124"/>
    <mergeCell ref="B95:E95"/>
    <mergeCell ref="B118:E118"/>
    <mergeCell ref="B121:E121"/>
    <mergeCell ref="B127:E127"/>
    <mergeCell ref="B141:E141"/>
    <mergeCell ref="B100:E100"/>
    <mergeCell ref="B103:E103"/>
    <mergeCell ref="B107:E107"/>
    <mergeCell ref="B2:E2"/>
    <mergeCell ref="B3:E3"/>
    <mergeCell ref="B72:E72"/>
    <mergeCell ref="B35:E35"/>
    <mergeCell ref="B38:E38"/>
    <mergeCell ref="B56:E56"/>
    <mergeCell ref="B45:E45"/>
    <mergeCell ref="B49:E49"/>
    <mergeCell ref="B60:E60"/>
    <mergeCell ref="B79:E79"/>
    <mergeCell ref="B82:E82"/>
    <mergeCell ref="B85:E85"/>
    <mergeCell ref="B111:E111"/>
    <mergeCell ref="B114:E114"/>
    <mergeCell ref="B88:E88"/>
    <mergeCell ref="B91:E91"/>
    <mergeCell ref="B130:E130"/>
    <mergeCell ref="B144:E144"/>
    <mergeCell ref="B133:E133"/>
    <mergeCell ref="B136:E136"/>
  </mergeCells>
  <pageMargins left="0.7" right="0.7" top="0.75" bottom="0.75" header="0.3" footer="0.3"/>
  <pageSetup orientation="portrait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topLeftCell="A34" zoomScale="91" zoomScaleNormal="91" workbookViewId="0">
      <selection activeCell="C45" sqref="C45"/>
    </sheetView>
  </sheetViews>
  <sheetFormatPr baseColWidth="10" defaultRowHeight="15"/>
  <cols>
    <col min="1" max="1" width="7" style="63" bestFit="1" customWidth="1"/>
    <col min="2" max="2" width="37.85546875" customWidth="1"/>
    <col min="3" max="3" width="16.140625" customWidth="1"/>
    <col min="4" max="4" width="15.5703125" bestFit="1" customWidth="1"/>
    <col min="5" max="5" width="14.85546875" bestFit="1" customWidth="1"/>
    <col min="6" max="6" width="15.5703125" bestFit="1" customWidth="1"/>
    <col min="7" max="7" width="14.85546875" bestFit="1" customWidth="1"/>
    <col min="8" max="8" width="14.42578125" customWidth="1"/>
    <col min="9" max="9" width="14.28515625" bestFit="1" customWidth="1"/>
    <col min="10" max="10" width="15.5703125" bestFit="1" customWidth="1"/>
    <col min="12" max="12" width="14" bestFit="1" customWidth="1"/>
  </cols>
  <sheetData>
    <row r="1" spans="1:13">
      <c r="A1" s="59"/>
      <c r="B1" s="50"/>
      <c r="C1" s="51" t="s">
        <v>333</v>
      </c>
      <c r="D1" s="51"/>
      <c r="E1" s="51"/>
      <c r="F1" s="50"/>
      <c r="G1" s="50"/>
      <c r="H1" s="50"/>
      <c r="I1" s="50"/>
      <c r="J1" s="50"/>
    </row>
    <row r="2" spans="1:13">
      <c r="A2" s="59"/>
      <c r="B2" s="52" t="s">
        <v>376</v>
      </c>
      <c r="C2" s="50"/>
      <c r="D2" s="50"/>
      <c r="E2" s="50"/>
      <c r="F2" s="50"/>
      <c r="G2" s="50"/>
      <c r="H2" s="50"/>
      <c r="I2" s="50"/>
      <c r="J2" s="50"/>
    </row>
    <row r="3" spans="1:13">
      <c r="A3" s="59"/>
      <c r="B3" s="50"/>
      <c r="C3" s="50"/>
      <c r="D3" s="50"/>
      <c r="E3" s="50"/>
      <c r="F3" s="50"/>
      <c r="G3" s="50"/>
      <c r="H3" s="50"/>
      <c r="I3" s="50"/>
      <c r="J3" s="50"/>
    </row>
    <row r="4" spans="1:13">
      <c r="A4" s="58" t="s">
        <v>35</v>
      </c>
      <c r="B4" s="58" t="s">
        <v>36</v>
      </c>
      <c r="C4" s="58" t="s">
        <v>37</v>
      </c>
      <c r="D4" s="58" t="s">
        <v>38</v>
      </c>
      <c r="E4" s="58" t="s">
        <v>39</v>
      </c>
      <c r="F4" s="58" t="s">
        <v>40</v>
      </c>
      <c r="G4" s="58" t="s">
        <v>41</v>
      </c>
      <c r="H4" s="58" t="s">
        <v>42</v>
      </c>
      <c r="I4" s="58" t="s">
        <v>43</v>
      </c>
      <c r="J4" s="58" t="s">
        <v>44</v>
      </c>
    </row>
    <row r="5" spans="1:13">
      <c r="A5" s="60" t="s">
        <v>75</v>
      </c>
      <c r="B5" s="53" t="s">
        <v>80</v>
      </c>
      <c r="C5" s="47">
        <f>+'balance 2022 final '!G5+'Libro Diario 2023 '!D108</f>
        <v>59062800</v>
      </c>
      <c r="D5" s="47">
        <f>+'Libro Diario 2023 '!E47+'Libro Diario 2023 '!E71</f>
        <v>3322800</v>
      </c>
      <c r="E5" s="47">
        <f>+IF(C5-D5&gt;0,C5-D5,0)</f>
        <v>55740000</v>
      </c>
      <c r="F5" s="47">
        <f>IF((D5-C5)&gt;0,D5-C5,0)</f>
        <v>0</v>
      </c>
      <c r="G5" s="47">
        <f t="shared" ref="G5:H21" si="0">IF(E5&gt;0,E5,0)</f>
        <v>55740000</v>
      </c>
      <c r="H5" s="47">
        <f t="shared" si="0"/>
        <v>0</v>
      </c>
      <c r="I5" s="47">
        <v>0</v>
      </c>
      <c r="J5" s="47">
        <v>0</v>
      </c>
    </row>
    <row r="6" spans="1:13">
      <c r="A6" s="60" t="s">
        <v>45</v>
      </c>
      <c r="B6" s="53" t="s">
        <v>46</v>
      </c>
      <c r="C6" s="47">
        <f>+'balance 2022 final '!G6+'Libro Diario 2023 '!D51+'Libro Diario 2023 '!D86+'Libro Diario 2023 '!D92+'Libro Diario 2023 '!D134</f>
        <v>898387000</v>
      </c>
      <c r="D6" s="47">
        <f>+'Libro Diario 2023 '!E43+'Libro Diario 2023 '!E59+'Libro Diario 2023 '!E67+'Libro Diario 2023 '!E75+'Libro Diario 2023 '!E90+'Libro Diario 2023 '!E106+'Libro Diario 2023 '!E126+'Libro Diario 2023 '!E129+'Libro Diario 2023 '!E132</f>
        <v>650248330.11098897</v>
      </c>
      <c r="E6" s="47">
        <f>+IF(C6-D6&gt;0,C6-D6,0)</f>
        <v>248138669.88901103</v>
      </c>
      <c r="F6" s="47">
        <f>IF((D6-C6)&gt;0,D6-C6,0)</f>
        <v>0</v>
      </c>
      <c r="G6" s="47">
        <f t="shared" si="0"/>
        <v>248138669.88901103</v>
      </c>
      <c r="H6" s="47">
        <f t="shared" si="0"/>
        <v>0</v>
      </c>
      <c r="I6" s="47">
        <v>0</v>
      </c>
      <c r="J6" s="47">
        <v>0</v>
      </c>
    </row>
    <row r="7" spans="1:13">
      <c r="A7" s="60">
        <v>11005</v>
      </c>
      <c r="B7" s="53" t="s">
        <v>224</v>
      </c>
      <c r="C7" s="47">
        <f>+'Libro Diario 2023 '!D89</f>
        <v>50000000</v>
      </c>
      <c r="D7" s="47">
        <f>+'balance 2022 final '!H6</f>
        <v>0</v>
      </c>
      <c r="E7" s="47">
        <f t="shared" ref="E7" si="1">+IF(C7-D7&gt;0,C7-D7,0)</f>
        <v>50000000</v>
      </c>
      <c r="F7" s="47">
        <f t="shared" ref="F7" si="2">IF((D7-C7)&gt;0,D7-C7,0)</f>
        <v>0</v>
      </c>
      <c r="G7" s="47">
        <f t="shared" ref="G7" si="3">IF(E7&gt;0,E7,0)</f>
        <v>50000000</v>
      </c>
      <c r="H7" s="47">
        <f t="shared" ref="H7" si="4">IF(F7&gt;0,F7,0)</f>
        <v>0</v>
      </c>
      <c r="I7" s="47">
        <v>0</v>
      </c>
      <c r="J7" s="47">
        <v>0</v>
      </c>
    </row>
    <row r="8" spans="1:13">
      <c r="A8" s="60">
        <v>11011</v>
      </c>
      <c r="B8" s="53" t="s">
        <v>48</v>
      </c>
      <c r="C8" s="47">
        <f>+'balance 2022 final '!G7</f>
        <v>45000000</v>
      </c>
      <c r="D8" s="47">
        <f>+C8</f>
        <v>45000000</v>
      </c>
      <c r="E8" s="47">
        <f t="shared" ref="E8:E44" si="5">+IF(C8-D8&gt;0,C8-D8,0)</f>
        <v>0</v>
      </c>
      <c r="F8" s="47">
        <f t="shared" ref="F8:F44" si="6">IF((D8-C8)&gt;0,D8-C8,0)</f>
        <v>0</v>
      </c>
      <c r="G8" s="47">
        <f t="shared" si="0"/>
        <v>0</v>
      </c>
      <c r="H8" s="47">
        <f t="shared" si="0"/>
        <v>0</v>
      </c>
      <c r="I8" s="47">
        <v>0</v>
      </c>
      <c r="J8" s="47">
        <v>0</v>
      </c>
    </row>
    <row r="9" spans="1:13">
      <c r="A9" s="60">
        <v>11020</v>
      </c>
      <c r="B9" s="53" t="s">
        <v>101</v>
      </c>
      <c r="C9" s="47">
        <f>+'balance 2022 final '!G8+'Libro Diario 2023 '!D50</f>
        <v>284900000</v>
      </c>
      <c r="D9" s="47">
        <f>+'Libro Diario 2023 '!E87+'Libro Diario 2023 '!E150</f>
        <v>135000000</v>
      </c>
      <c r="E9" s="47">
        <f t="shared" si="5"/>
        <v>149900000</v>
      </c>
      <c r="F9" s="47">
        <f t="shared" si="6"/>
        <v>0</v>
      </c>
      <c r="G9" s="47">
        <f t="shared" si="0"/>
        <v>149900000</v>
      </c>
      <c r="H9" s="47">
        <f t="shared" si="0"/>
        <v>0</v>
      </c>
      <c r="I9" s="47">
        <v>0</v>
      </c>
      <c r="J9" s="47">
        <v>0</v>
      </c>
    </row>
    <row r="10" spans="1:13">
      <c r="A10" s="60">
        <f>+A9+1</f>
        <v>11021</v>
      </c>
      <c r="B10" s="53" t="s">
        <v>58</v>
      </c>
      <c r="C10" s="47">
        <f>+'Libro Diario 2023 '!D149</f>
        <v>9000000</v>
      </c>
      <c r="D10" s="47">
        <f>+'balance 2022 final '!H9+'Libro Diario 2023 '!E120</f>
        <v>12747500</v>
      </c>
      <c r="E10" s="47">
        <f t="shared" si="5"/>
        <v>0</v>
      </c>
      <c r="F10" s="47">
        <f t="shared" si="6"/>
        <v>3747500</v>
      </c>
      <c r="G10" s="47">
        <f t="shared" si="0"/>
        <v>0</v>
      </c>
      <c r="H10" s="47">
        <f t="shared" si="0"/>
        <v>3747500</v>
      </c>
      <c r="I10" s="47">
        <v>0</v>
      </c>
      <c r="J10" s="47">
        <v>0</v>
      </c>
    </row>
    <row r="11" spans="1:13">
      <c r="A11" s="60">
        <v>11051</v>
      </c>
      <c r="B11" s="53" t="s">
        <v>49</v>
      </c>
      <c r="C11" s="47">
        <f>+'balance 2022 final '!G10</f>
        <v>350000000</v>
      </c>
      <c r="D11" s="47">
        <f>+'Libro Diario 2023 '!E55+'Libro Diario 2023 '!E113+'Libro Diario 2023 '!E117</f>
        <v>283300000</v>
      </c>
      <c r="E11" s="47">
        <f t="shared" si="5"/>
        <v>66700000</v>
      </c>
      <c r="F11" s="47">
        <f t="shared" si="6"/>
        <v>0</v>
      </c>
      <c r="G11" s="47">
        <f t="shared" si="0"/>
        <v>66700000</v>
      </c>
      <c r="H11" s="47">
        <f t="shared" si="0"/>
        <v>0</v>
      </c>
      <c r="I11" s="47">
        <v>0</v>
      </c>
      <c r="J11" s="47">
        <v>0</v>
      </c>
      <c r="M11" s="5"/>
    </row>
    <row r="12" spans="1:13">
      <c r="A12" s="60">
        <v>11071</v>
      </c>
      <c r="B12" s="53" t="s">
        <v>15</v>
      </c>
      <c r="C12" s="47">
        <f>+'Libro Diario 2023 '!D69</f>
        <v>1680672.2689075631</v>
      </c>
      <c r="D12" s="47">
        <f>+'Libro Diario 2023 '!E78</f>
        <v>1120448.1792717087</v>
      </c>
      <c r="E12" s="47">
        <f t="shared" si="5"/>
        <v>560224.08963585435</v>
      </c>
      <c r="F12" s="47">
        <f t="shared" si="6"/>
        <v>0</v>
      </c>
      <c r="G12" s="47">
        <f t="shared" si="0"/>
        <v>560224.08963585435</v>
      </c>
      <c r="H12" s="47">
        <f t="shared" si="0"/>
        <v>0</v>
      </c>
      <c r="I12" s="47">
        <v>0</v>
      </c>
      <c r="J12" s="47">
        <v>0</v>
      </c>
      <c r="M12" s="5"/>
    </row>
    <row r="13" spans="1:13">
      <c r="A13" s="60">
        <v>12001</v>
      </c>
      <c r="B13" s="53" t="s">
        <v>102</v>
      </c>
      <c r="C13" s="47">
        <f>+'balance 2022 final '!G12+'Libro Diario 2023 '!D58+'Libro Diario 2023 '!D142</f>
        <v>35421000</v>
      </c>
      <c r="D13" s="47">
        <f>+'Libro Diario 2023 '!E74</f>
        <v>14011000</v>
      </c>
      <c r="E13" s="47">
        <f t="shared" si="5"/>
        <v>21410000</v>
      </c>
      <c r="F13" s="47">
        <f t="shared" si="6"/>
        <v>0</v>
      </c>
      <c r="G13" s="47">
        <f t="shared" si="0"/>
        <v>21410000</v>
      </c>
      <c r="H13" s="47">
        <f t="shared" si="0"/>
        <v>0</v>
      </c>
      <c r="I13" s="47">
        <v>0</v>
      </c>
      <c r="J13" s="47">
        <v>0</v>
      </c>
      <c r="M13" s="5"/>
    </row>
    <row r="14" spans="1:13">
      <c r="A14" s="60">
        <v>12002</v>
      </c>
      <c r="B14" s="53" t="s">
        <v>50</v>
      </c>
      <c r="C14" s="47">
        <f>+'balance 2022 final '!G13+'Libro Diario 2023 '!D66+'Libro Diario 2023 '!D70</f>
        <v>18654327.731092438</v>
      </c>
      <c r="D14" s="47">
        <f>+'Libro Diario 2023 '!E42</f>
        <v>11685000</v>
      </c>
      <c r="E14" s="47">
        <f t="shared" si="5"/>
        <v>6969327.7310924381</v>
      </c>
      <c r="F14" s="47">
        <f t="shared" si="6"/>
        <v>0</v>
      </c>
      <c r="G14" s="47">
        <f t="shared" si="0"/>
        <v>6969327.7310924381</v>
      </c>
      <c r="H14" s="47">
        <f t="shared" si="0"/>
        <v>0</v>
      </c>
      <c r="I14" s="47">
        <v>0</v>
      </c>
      <c r="J14" s="47">
        <v>0</v>
      </c>
      <c r="M14" s="5"/>
    </row>
    <row r="15" spans="1:13">
      <c r="A15" s="60">
        <v>12003</v>
      </c>
      <c r="B15" s="53" t="s">
        <v>104</v>
      </c>
      <c r="C15" s="47">
        <f>+'balance 2022 final '!G14</f>
        <v>0</v>
      </c>
      <c r="D15" s="47">
        <f>+'balance 2022 final '!H14</f>
        <v>0</v>
      </c>
      <c r="E15" s="47">
        <f t="shared" si="5"/>
        <v>0</v>
      </c>
      <c r="F15" s="47">
        <f t="shared" si="6"/>
        <v>0</v>
      </c>
      <c r="G15" s="47">
        <f t="shared" si="0"/>
        <v>0</v>
      </c>
      <c r="H15" s="47">
        <f t="shared" si="0"/>
        <v>0</v>
      </c>
      <c r="I15" s="47">
        <v>0</v>
      </c>
      <c r="J15" s="47">
        <v>0</v>
      </c>
      <c r="M15" s="5"/>
    </row>
    <row r="16" spans="1:13">
      <c r="A16" s="60">
        <v>13001</v>
      </c>
      <c r="B16" s="53" t="s">
        <v>47</v>
      </c>
      <c r="C16" s="47">
        <f>+'balance 2022 final '!G15</f>
        <v>21000000</v>
      </c>
      <c r="D16" s="47">
        <f>+'balance 2022 final '!H15</f>
        <v>0</v>
      </c>
      <c r="E16" s="47">
        <f t="shared" si="5"/>
        <v>21000000</v>
      </c>
      <c r="F16" s="47">
        <f t="shared" si="6"/>
        <v>0</v>
      </c>
      <c r="G16" s="47">
        <f t="shared" si="0"/>
        <v>21000000</v>
      </c>
      <c r="H16" s="47">
        <f t="shared" si="0"/>
        <v>0</v>
      </c>
      <c r="I16" s="47">
        <v>0</v>
      </c>
      <c r="J16" s="47">
        <v>0</v>
      </c>
      <c r="M16" s="5"/>
    </row>
    <row r="17" spans="1:13">
      <c r="A17" s="60" t="s">
        <v>51</v>
      </c>
      <c r="B17" s="53" t="s">
        <v>52</v>
      </c>
      <c r="C17" s="47">
        <f>+'balance 2022 final '!G16</f>
        <v>180000000</v>
      </c>
      <c r="D17" s="47">
        <f>+'balance 2022 final '!H16</f>
        <v>0</v>
      </c>
      <c r="E17" s="47">
        <f t="shared" si="5"/>
        <v>180000000</v>
      </c>
      <c r="F17" s="47">
        <f t="shared" si="6"/>
        <v>0</v>
      </c>
      <c r="G17" s="47">
        <f t="shared" si="0"/>
        <v>180000000</v>
      </c>
      <c r="H17" s="47">
        <f t="shared" si="0"/>
        <v>0</v>
      </c>
      <c r="I17" s="47">
        <v>0</v>
      </c>
      <c r="J17" s="47">
        <v>0</v>
      </c>
      <c r="M17" s="5"/>
    </row>
    <row r="18" spans="1:13">
      <c r="A18" s="60" t="s">
        <v>53</v>
      </c>
      <c r="B18" s="53" t="s">
        <v>375</v>
      </c>
      <c r="C18" s="47">
        <f>+'balance 2022 final '!G17</f>
        <v>420000000</v>
      </c>
      <c r="D18" s="47">
        <f>+'balance 2022 final '!H17</f>
        <v>0</v>
      </c>
      <c r="E18" s="47">
        <f t="shared" si="5"/>
        <v>420000000</v>
      </c>
      <c r="F18" s="47">
        <f t="shared" si="6"/>
        <v>0</v>
      </c>
      <c r="G18" s="47">
        <f t="shared" si="0"/>
        <v>420000000</v>
      </c>
      <c r="H18" s="47">
        <f t="shared" si="0"/>
        <v>0</v>
      </c>
      <c r="I18" s="47">
        <v>0</v>
      </c>
      <c r="J18" s="47">
        <v>0</v>
      </c>
    </row>
    <row r="19" spans="1:13">
      <c r="A19" s="60">
        <v>15020</v>
      </c>
      <c r="B19" s="53" t="s">
        <v>381</v>
      </c>
      <c r="C19" s="47">
        <f>+'balance 2022 final '!G18</f>
        <v>5000000</v>
      </c>
      <c r="D19" s="47">
        <f>+'balance 2022 final '!H18</f>
        <v>0</v>
      </c>
      <c r="E19" s="47">
        <f t="shared" si="5"/>
        <v>5000000</v>
      </c>
      <c r="F19" s="47">
        <f t="shared" si="6"/>
        <v>0</v>
      </c>
      <c r="G19" s="47">
        <f t="shared" si="0"/>
        <v>5000000</v>
      </c>
      <c r="H19" s="47">
        <f t="shared" si="0"/>
        <v>0</v>
      </c>
      <c r="I19" s="47">
        <v>0</v>
      </c>
      <c r="J19" s="47">
        <v>0</v>
      </c>
    </row>
    <row r="20" spans="1:13">
      <c r="A20" s="60">
        <v>15031</v>
      </c>
      <c r="B20" s="53" t="s">
        <v>81</v>
      </c>
      <c r="C20" s="47">
        <f>+'balance 2022 final '!G19</f>
        <v>12000000</v>
      </c>
      <c r="D20" s="47">
        <f>+'balance 2022 final '!H19</f>
        <v>0</v>
      </c>
      <c r="E20" s="47">
        <f t="shared" si="5"/>
        <v>12000000</v>
      </c>
      <c r="F20" s="47">
        <f t="shared" si="6"/>
        <v>0</v>
      </c>
      <c r="G20" s="47">
        <f t="shared" si="0"/>
        <v>12000000</v>
      </c>
      <c r="H20" s="47">
        <f t="shared" si="0"/>
        <v>0</v>
      </c>
      <c r="I20" s="47">
        <v>0</v>
      </c>
      <c r="J20" s="47">
        <v>0</v>
      </c>
    </row>
    <row r="21" spans="1:13">
      <c r="A21" s="60">
        <v>15101</v>
      </c>
      <c r="B21" s="53" t="s">
        <v>233</v>
      </c>
      <c r="C21" s="47">
        <f>+'Libro Diario 2023 '!D61</f>
        <v>100000000</v>
      </c>
      <c r="D21" s="47">
        <f>+'balance 2022 final '!H20</f>
        <v>0</v>
      </c>
      <c r="E21" s="47">
        <f t="shared" si="5"/>
        <v>100000000</v>
      </c>
      <c r="F21" s="47">
        <f t="shared" si="6"/>
        <v>0</v>
      </c>
      <c r="G21" s="47">
        <f t="shared" si="0"/>
        <v>100000000</v>
      </c>
      <c r="H21" s="47">
        <f t="shared" si="0"/>
        <v>0</v>
      </c>
      <c r="I21" s="47">
        <v>0</v>
      </c>
      <c r="J21" s="47">
        <v>0</v>
      </c>
    </row>
    <row r="22" spans="1:13">
      <c r="A22" s="60">
        <v>15102</v>
      </c>
      <c r="B22" s="53" t="s">
        <v>98</v>
      </c>
      <c r="C22" s="47">
        <f>+'balance 2022 final '!G21</f>
        <v>0</v>
      </c>
      <c r="D22" s="47">
        <f>+'balance 2022 final '!H21</f>
        <v>0</v>
      </c>
      <c r="E22" s="47">
        <f t="shared" si="5"/>
        <v>0</v>
      </c>
      <c r="F22" s="47">
        <f t="shared" si="6"/>
        <v>0</v>
      </c>
      <c r="G22" s="47">
        <f t="shared" ref="G22:H39" si="7">IF(E22&gt;0,E22,0)</f>
        <v>0</v>
      </c>
      <c r="H22" s="47">
        <f t="shared" si="7"/>
        <v>0</v>
      </c>
      <c r="I22" s="47">
        <v>0</v>
      </c>
      <c r="J22" s="47">
        <v>0</v>
      </c>
    </row>
    <row r="23" spans="1:13">
      <c r="A23" s="62">
        <v>15410</v>
      </c>
      <c r="B23" s="53" t="s">
        <v>54</v>
      </c>
      <c r="C23" s="47">
        <f>+'balance 2022 final '!G22</f>
        <v>0</v>
      </c>
      <c r="D23" s="47">
        <f>+'balance 2022 final '!H22+'Libro Diario 2023 '!E139</f>
        <v>13761904.761904761</v>
      </c>
      <c r="E23" s="47">
        <f t="shared" si="5"/>
        <v>0</v>
      </c>
      <c r="F23" s="47">
        <f t="shared" si="6"/>
        <v>13761904.761904761</v>
      </c>
      <c r="G23" s="47">
        <f t="shared" si="7"/>
        <v>0</v>
      </c>
      <c r="H23" s="47">
        <f t="shared" si="7"/>
        <v>13761904.761904761</v>
      </c>
      <c r="I23" s="47">
        <v>0</v>
      </c>
      <c r="J23" s="47">
        <v>0</v>
      </c>
    </row>
    <row r="24" spans="1:13">
      <c r="A24" s="62">
        <v>15420</v>
      </c>
      <c r="B24" s="53" t="s">
        <v>84</v>
      </c>
      <c r="C24" s="47">
        <f>+'balance 2022 final '!G23</f>
        <v>0</v>
      </c>
      <c r="D24" s="47">
        <f>+'Libro Diario 2023 '!E140</f>
        <v>1666666.6666666665</v>
      </c>
      <c r="E24" s="47">
        <f t="shared" si="5"/>
        <v>0</v>
      </c>
      <c r="F24" s="47">
        <f t="shared" si="6"/>
        <v>1666666.6666666665</v>
      </c>
      <c r="G24" s="47">
        <f t="shared" si="7"/>
        <v>0</v>
      </c>
      <c r="H24" s="47">
        <f t="shared" si="7"/>
        <v>1666666.6666666665</v>
      </c>
      <c r="I24" s="47">
        <v>0</v>
      </c>
      <c r="J24" s="47">
        <v>0</v>
      </c>
    </row>
    <row r="25" spans="1:13">
      <c r="A25" s="62">
        <v>20001</v>
      </c>
      <c r="B25" s="53" t="s">
        <v>91</v>
      </c>
      <c r="C25" s="47">
        <f>+'balance 2022 final '!G24</f>
        <v>0</v>
      </c>
      <c r="D25" s="47">
        <f>+'balance 2022 final '!H24</f>
        <v>100000000</v>
      </c>
      <c r="E25" s="47">
        <f t="shared" si="5"/>
        <v>0</v>
      </c>
      <c r="F25" s="47">
        <f t="shared" si="6"/>
        <v>100000000</v>
      </c>
      <c r="G25" s="47">
        <f t="shared" si="7"/>
        <v>0</v>
      </c>
      <c r="H25" s="47">
        <f t="shared" si="7"/>
        <v>100000000</v>
      </c>
      <c r="I25" s="47"/>
      <c r="J25" s="47"/>
    </row>
    <row r="26" spans="1:13">
      <c r="A26" s="62">
        <v>20021</v>
      </c>
      <c r="B26" s="53" t="s">
        <v>92</v>
      </c>
      <c r="C26" s="47">
        <f>+'Libro Diario 2023 '!D64</f>
        <v>23267787.557504077</v>
      </c>
      <c r="D26" s="47">
        <f>+'Libro Diario 2023 '!E62</f>
        <v>100000000</v>
      </c>
      <c r="E26" s="47">
        <f t="shared" si="5"/>
        <v>0</v>
      </c>
      <c r="F26" s="47">
        <f t="shared" si="6"/>
        <v>76732212.442495927</v>
      </c>
      <c r="G26" s="47">
        <f t="shared" si="7"/>
        <v>0</v>
      </c>
      <c r="H26" s="47">
        <f t="shared" si="7"/>
        <v>76732212.442495927</v>
      </c>
      <c r="I26" s="47"/>
      <c r="J26" s="47"/>
    </row>
    <row r="27" spans="1:13">
      <c r="A27" s="62">
        <v>20151</v>
      </c>
      <c r="B27" s="53" t="s">
        <v>55</v>
      </c>
      <c r="C27" s="47">
        <f>+'Libro Diario 2023 '!D39+'Libro Diario 2023 '!D57</f>
        <v>149188000</v>
      </c>
      <c r="D27" s="47">
        <f>+'balance 2022 final '!H26+'Libro Diario 2023 '!E53+'Libro Diario 2023 '!E110</f>
        <v>149378000</v>
      </c>
      <c r="E27" s="47">
        <f t="shared" si="5"/>
        <v>0</v>
      </c>
      <c r="F27" s="47">
        <f t="shared" si="6"/>
        <v>190000</v>
      </c>
      <c r="G27" s="47">
        <f t="shared" si="7"/>
        <v>0</v>
      </c>
      <c r="H27" s="47">
        <f t="shared" si="7"/>
        <v>190000</v>
      </c>
      <c r="I27" s="47"/>
      <c r="J27" s="47"/>
    </row>
    <row r="28" spans="1:13">
      <c r="A28" s="60" t="s">
        <v>56</v>
      </c>
      <c r="B28" s="53" t="s">
        <v>6</v>
      </c>
      <c r="C28" s="47">
        <f>+'Libro Diario 2023 '!D128</f>
        <v>186085000</v>
      </c>
      <c r="D28" s="47">
        <f>+'balance 2022 final '!H27</f>
        <v>186085000</v>
      </c>
      <c r="E28" s="47">
        <f t="shared" si="5"/>
        <v>0</v>
      </c>
      <c r="F28" s="47">
        <f t="shared" si="6"/>
        <v>0</v>
      </c>
      <c r="G28" s="47">
        <f t="shared" si="7"/>
        <v>0</v>
      </c>
      <c r="H28" s="47">
        <f t="shared" si="7"/>
        <v>0</v>
      </c>
      <c r="I28" s="47">
        <v>0</v>
      </c>
      <c r="J28" s="47">
        <v>0</v>
      </c>
    </row>
    <row r="29" spans="1:13">
      <c r="A29" s="60">
        <v>21002</v>
      </c>
      <c r="B29" s="53" t="s">
        <v>57</v>
      </c>
      <c r="C29" s="47">
        <f>+'balance 2022 final '!G28</f>
        <v>0</v>
      </c>
      <c r="D29" s="47">
        <f>+'balance 2022 final '!H28</f>
        <v>18000000</v>
      </c>
      <c r="E29" s="47">
        <f t="shared" si="5"/>
        <v>0</v>
      </c>
      <c r="F29" s="47">
        <f t="shared" si="6"/>
        <v>18000000</v>
      </c>
      <c r="G29" s="47">
        <f t="shared" si="7"/>
        <v>0</v>
      </c>
      <c r="H29" s="47">
        <f t="shared" si="7"/>
        <v>18000000</v>
      </c>
      <c r="I29" s="47">
        <v>0</v>
      </c>
      <c r="J29" s="47">
        <v>0</v>
      </c>
    </row>
    <row r="30" spans="1:13">
      <c r="A30" s="60">
        <f>+A29+1</f>
        <v>21003</v>
      </c>
      <c r="B30" s="53" t="s">
        <v>554</v>
      </c>
      <c r="C30" s="47">
        <f>+'Libro Diario 2023 '!D83+'Libro Diario 2023 '!D131</f>
        <v>152349835.95714286</v>
      </c>
      <c r="D30" s="47">
        <f>+'Libro Diario 2023 '!E81</f>
        <v>152349835.95714286</v>
      </c>
      <c r="E30" s="47">
        <f t="shared" ref="E30" si="8">+IF(C30-D30&gt;0,C30-D30,0)</f>
        <v>0</v>
      </c>
      <c r="F30" s="47">
        <f t="shared" ref="F30" si="9">IF((D30-C30)&gt;0,D30-C30,0)</f>
        <v>0</v>
      </c>
      <c r="G30" s="47">
        <f t="shared" ref="G30" si="10">IF(E30&gt;0,E30,0)</f>
        <v>0</v>
      </c>
      <c r="H30" s="47">
        <f t="shared" ref="H30" si="11">IF(F30&gt;0,F30,0)</f>
        <v>0</v>
      </c>
      <c r="I30" s="47">
        <v>0</v>
      </c>
      <c r="J30" s="47">
        <v>0</v>
      </c>
    </row>
    <row r="31" spans="1:13">
      <c r="A31" s="60">
        <v>22001</v>
      </c>
      <c r="B31" s="53" t="s">
        <v>105</v>
      </c>
      <c r="C31" s="47">
        <f>+'Libro Diario 2023 '!D104</f>
        <v>53460000</v>
      </c>
      <c r="D31" s="47">
        <f>+'Libro Diario 2023 '!E99</f>
        <v>53460000</v>
      </c>
      <c r="E31" s="47">
        <f t="shared" si="5"/>
        <v>0</v>
      </c>
      <c r="F31" s="47">
        <f t="shared" si="6"/>
        <v>0</v>
      </c>
      <c r="G31" s="47">
        <f t="shared" si="7"/>
        <v>0</v>
      </c>
      <c r="H31" s="47">
        <f t="shared" si="7"/>
        <v>0</v>
      </c>
      <c r="I31" s="47">
        <v>0</v>
      </c>
      <c r="J31" s="47">
        <v>0</v>
      </c>
    </row>
    <row r="32" spans="1:13">
      <c r="A32" s="60">
        <v>22002</v>
      </c>
      <c r="B32" s="53" t="s">
        <v>100</v>
      </c>
      <c r="C32" s="47">
        <f>+'Libro Diario 2023 '!D46+'Libro Diario 2023 '!D105</f>
        <v>15842800</v>
      </c>
      <c r="D32" s="47">
        <f>+'balance 2022 final '!H30+'Libro Diario 2023 '!E98</f>
        <v>17162800</v>
      </c>
      <c r="E32" s="47">
        <f t="shared" si="5"/>
        <v>0</v>
      </c>
      <c r="F32" s="47">
        <f t="shared" si="6"/>
        <v>1320000</v>
      </c>
      <c r="G32" s="47">
        <f t="shared" si="7"/>
        <v>0</v>
      </c>
      <c r="H32" s="47">
        <f t="shared" si="7"/>
        <v>1320000</v>
      </c>
      <c r="I32" s="47">
        <v>0</v>
      </c>
      <c r="J32" s="47">
        <v>0</v>
      </c>
    </row>
    <row r="33" spans="1:10">
      <c r="A33" s="60">
        <v>22051</v>
      </c>
      <c r="B33" s="53" t="s">
        <v>60</v>
      </c>
      <c r="C33" s="47">
        <f>+'Libro Diario 2023 '!D41</f>
        <v>110000</v>
      </c>
      <c r="D33" s="47">
        <f>+'balance 2022 final '!H31</f>
        <v>110000</v>
      </c>
      <c r="E33" s="47">
        <f t="shared" si="5"/>
        <v>0</v>
      </c>
      <c r="F33" s="47">
        <f t="shared" si="6"/>
        <v>0</v>
      </c>
      <c r="G33" s="47">
        <f t="shared" si="7"/>
        <v>0</v>
      </c>
      <c r="H33" s="47">
        <f t="shared" si="7"/>
        <v>0</v>
      </c>
      <c r="I33" s="47">
        <v>0</v>
      </c>
      <c r="J33" s="47">
        <v>0</v>
      </c>
    </row>
    <row r="34" spans="1:10">
      <c r="A34" s="61">
        <v>23001</v>
      </c>
      <c r="B34" s="53" t="s">
        <v>88</v>
      </c>
      <c r="C34" s="47">
        <f>+'balance 2022 final '!G32</f>
        <v>0</v>
      </c>
      <c r="D34" s="47">
        <f>+'Libro Diario 2023 '!E109</f>
        <v>1000000</v>
      </c>
      <c r="E34" s="47">
        <f t="shared" si="5"/>
        <v>0</v>
      </c>
      <c r="F34" s="47">
        <f t="shared" si="6"/>
        <v>1000000</v>
      </c>
      <c r="G34" s="47">
        <f t="shared" si="7"/>
        <v>0</v>
      </c>
      <c r="H34" s="47">
        <f t="shared" si="7"/>
        <v>1000000</v>
      </c>
      <c r="I34" s="47">
        <v>0</v>
      </c>
      <c r="J34" s="47">
        <v>0</v>
      </c>
    </row>
    <row r="35" spans="1:10">
      <c r="A35" s="62">
        <v>24001</v>
      </c>
      <c r="B35" s="53" t="s">
        <v>61</v>
      </c>
      <c r="C35" s="47">
        <f>+'Libro Diario 2023 '!D73</f>
        <v>99425494.153846174</v>
      </c>
      <c r="D35" s="47">
        <f>+'balance 2022 final '!H33+'Libro Diario 2023 '!E154</f>
        <v>142327367.75308955</v>
      </c>
      <c r="E35" s="47">
        <f t="shared" si="5"/>
        <v>0</v>
      </c>
      <c r="F35" s="47">
        <f t="shared" si="6"/>
        <v>42901873.599243373</v>
      </c>
      <c r="G35" s="47">
        <f t="shared" si="7"/>
        <v>0</v>
      </c>
      <c r="H35" s="47">
        <f t="shared" si="7"/>
        <v>42901873.599243373</v>
      </c>
      <c r="I35" s="47">
        <v>0</v>
      </c>
      <c r="J35" s="47">
        <v>0</v>
      </c>
    </row>
    <row r="36" spans="1:10">
      <c r="A36" s="61">
        <v>24002</v>
      </c>
      <c r="B36" s="53" t="s">
        <v>96</v>
      </c>
      <c r="C36" s="47">
        <f>+'balance 2022 final '!G34</f>
        <v>0</v>
      </c>
      <c r="D36" s="47">
        <f>+'Libro Diario 2023 '!E123</f>
        <v>790000</v>
      </c>
      <c r="E36" s="47">
        <f t="shared" si="5"/>
        <v>0</v>
      </c>
      <c r="F36" s="47">
        <f t="shared" si="6"/>
        <v>790000</v>
      </c>
      <c r="G36" s="47">
        <f t="shared" si="7"/>
        <v>0</v>
      </c>
      <c r="H36" s="47">
        <f t="shared" si="7"/>
        <v>790000</v>
      </c>
      <c r="I36" s="47">
        <v>0</v>
      </c>
      <c r="J36" s="47">
        <v>0</v>
      </c>
    </row>
    <row r="37" spans="1:10">
      <c r="A37" s="61">
        <v>24010</v>
      </c>
      <c r="B37" s="53" t="s">
        <v>103</v>
      </c>
      <c r="C37" s="47">
        <f>+'Libro Diario 2023 '!D40</f>
        <v>2556000</v>
      </c>
      <c r="D37" s="47">
        <f>+'balance 2022 final '!H35</f>
        <v>2556000</v>
      </c>
      <c r="E37" s="47">
        <f t="shared" si="5"/>
        <v>0</v>
      </c>
      <c r="F37" s="47">
        <f t="shared" si="6"/>
        <v>0</v>
      </c>
      <c r="G37" s="47">
        <f t="shared" si="7"/>
        <v>0</v>
      </c>
      <c r="H37" s="47">
        <f t="shared" si="7"/>
        <v>0</v>
      </c>
      <c r="I37" s="47">
        <v>0</v>
      </c>
      <c r="J37" s="47">
        <v>0</v>
      </c>
    </row>
    <row r="38" spans="1:10">
      <c r="A38" s="60">
        <v>24015</v>
      </c>
      <c r="B38" s="53" t="s">
        <v>59</v>
      </c>
      <c r="C38" s="47">
        <f>+'Libro Diario 2023 '!D101</f>
        <v>2016666.6666666665</v>
      </c>
      <c r="D38" s="47">
        <f>+'Libro Diario 2023 '!E30+'Libro Diario 2023 '!E146</f>
        <v>4466666.666666666</v>
      </c>
      <c r="E38" s="47">
        <f t="shared" si="5"/>
        <v>0</v>
      </c>
      <c r="F38" s="47">
        <f t="shared" si="6"/>
        <v>2449999.9999999995</v>
      </c>
      <c r="G38" s="47">
        <f t="shared" si="7"/>
        <v>0</v>
      </c>
      <c r="H38" s="47">
        <f t="shared" si="7"/>
        <v>2449999.9999999995</v>
      </c>
      <c r="I38" s="47">
        <v>0</v>
      </c>
      <c r="J38" s="47">
        <v>0</v>
      </c>
    </row>
    <row r="39" spans="1:10">
      <c r="A39" s="61">
        <v>25001</v>
      </c>
      <c r="B39" s="53" t="s">
        <v>89</v>
      </c>
      <c r="C39" s="47">
        <f>+'Libro Diario 2023 '!D153</f>
        <v>958266.84065935016</v>
      </c>
      <c r="D39" s="47">
        <f>+'balance 2022 final '!H37</f>
        <v>1918100.2747252584</v>
      </c>
      <c r="E39" s="47">
        <f t="shared" si="5"/>
        <v>0</v>
      </c>
      <c r="F39" s="47">
        <f t="shared" si="6"/>
        <v>959833.43406590819</v>
      </c>
      <c r="G39" s="47">
        <f t="shared" si="7"/>
        <v>0</v>
      </c>
      <c r="H39" s="47">
        <f t="shared" si="7"/>
        <v>959833.43406590819</v>
      </c>
      <c r="I39" s="47">
        <v>0</v>
      </c>
      <c r="J39" s="47">
        <v>0</v>
      </c>
    </row>
    <row r="40" spans="1:10">
      <c r="A40" s="60">
        <v>33001</v>
      </c>
      <c r="B40" s="53" t="s">
        <v>72</v>
      </c>
      <c r="C40" s="47">
        <f>+'balance 2022 final '!G38</f>
        <v>0</v>
      </c>
      <c r="D40" s="47">
        <f>+'balance 2022 final '!H38</f>
        <v>300000000</v>
      </c>
      <c r="E40" s="47">
        <f t="shared" si="5"/>
        <v>0</v>
      </c>
      <c r="F40" s="47">
        <f t="shared" si="6"/>
        <v>300000000</v>
      </c>
      <c r="G40" s="47">
        <f t="shared" ref="G40:H44" si="12">IF(E40&gt;0,E40,0)</f>
        <v>0</v>
      </c>
      <c r="H40" s="47">
        <f t="shared" si="12"/>
        <v>300000000</v>
      </c>
      <c r="I40" s="47">
        <v>0</v>
      </c>
      <c r="J40" s="47">
        <v>0</v>
      </c>
    </row>
    <row r="41" spans="1:10">
      <c r="A41" s="60">
        <v>33002</v>
      </c>
      <c r="B41" s="53" t="s">
        <v>73</v>
      </c>
      <c r="C41" s="47">
        <f>+'balance 2022 final '!G39</f>
        <v>30000000</v>
      </c>
      <c r="D41" s="47">
        <f>+'balance 2022 final '!H39</f>
        <v>0</v>
      </c>
      <c r="E41" s="47">
        <f t="shared" si="5"/>
        <v>30000000</v>
      </c>
      <c r="F41" s="47">
        <f t="shared" si="6"/>
        <v>0</v>
      </c>
      <c r="G41" s="47">
        <f t="shared" si="12"/>
        <v>30000000</v>
      </c>
      <c r="H41" s="47">
        <f t="shared" si="12"/>
        <v>0</v>
      </c>
      <c r="I41" s="47">
        <v>0</v>
      </c>
      <c r="J41" s="47">
        <v>0</v>
      </c>
    </row>
    <row r="42" spans="1:10">
      <c r="A42" s="60">
        <v>33003</v>
      </c>
      <c r="B42" s="53" t="s">
        <v>74</v>
      </c>
      <c r="C42" s="47">
        <f>+'balance 2022 final '!G40</f>
        <v>150000000</v>
      </c>
      <c r="D42" s="47">
        <f>+'Libro Diario 2023 '!E135</f>
        <v>150000000</v>
      </c>
      <c r="E42" s="47">
        <f t="shared" si="5"/>
        <v>0</v>
      </c>
      <c r="F42" s="47">
        <f t="shared" si="6"/>
        <v>0</v>
      </c>
      <c r="G42" s="47">
        <f t="shared" si="12"/>
        <v>0</v>
      </c>
      <c r="H42" s="47">
        <f t="shared" si="12"/>
        <v>0</v>
      </c>
      <c r="I42" s="47">
        <v>0</v>
      </c>
      <c r="J42" s="47">
        <v>0</v>
      </c>
    </row>
    <row r="43" spans="1:10">
      <c r="A43" s="60">
        <v>33011</v>
      </c>
      <c r="B43" s="53" t="s">
        <v>62</v>
      </c>
      <c r="C43" s="47">
        <f>+'balance 2022 final '!G41</f>
        <v>0</v>
      </c>
      <c r="D43" s="47">
        <f>+'balance 2022 final '!H41</f>
        <v>200000000</v>
      </c>
      <c r="E43" s="47">
        <f t="shared" si="5"/>
        <v>0</v>
      </c>
      <c r="F43" s="47">
        <f t="shared" si="6"/>
        <v>200000000</v>
      </c>
      <c r="G43" s="47">
        <f t="shared" si="12"/>
        <v>0</v>
      </c>
      <c r="H43" s="47">
        <f t="shared" si="12"/>
        <v>200000000</v>
      </c>
      <c r="I43" s="47">
        <v>0</v>
      </c>
      <c r="J43" s="47">
        <v>0</v>
      </c>
    </row>
    <row r="44" spans="1:10">
      <c r="A44" s="62">
        <v>34001</v>
      </c>
      <c r="B44" s="53" t="s">
        <v>76</v>
      </c>
      <c r="C44" s="47">
        <f>+'balance 2022 final '!G42</f>
        <v>100000000</v>
      </c>
      <c r="D44" s="47">
        <f>+'Libro Diario 2023 '!E84</f>
        <v>100000000</v>
      </c>
      <c r="E44" s="47">
        <f t="shared" si="5"/>
        <v>0</v>
      </c>
      <c r="F44" s="47">
        <f t="shared" si="6"/>
        <v>0</v>
      </c>
      <c r="G44" s="47">
        <f t="shared" si="12"/>
        <v>0</v>
      </c>
      <c r="H44" s="47">
        <f t="shared" si="12"/>
        <v>0</v>
      </c>
      <c r="I44" s="47">
        <v>0</v>
      </c>
      <c r="J44" s="47">
        <v>0</v>
      </c>
    </row>
    <row r="45" spans="1:10">
      <c r="A45" s="62">
        <v>34002</v>
      </c>
      <c r="B45" s="53" t="s">
        <v>194</v>
      </c>
      <c r="C45" s="47">
        <f>+'Libro Diario 2023 '!D36</f>
        <v>507832786.52380955</v>
      </c>
      <c r="D45" s="47">
        <f>+'balance 2022 final '!H67</f>
        <v>507832786.52380955</v>
      </c>
      <c r="E45" s="47">
        <f t="shared" ref="E45" si="13">+IF(C45-D45&gt;0,C45-D45,0)</f>
        <v>0</v>
      </c>
      <c r="F45" s="47">
        <f t="shared" ref="F45" si="14">IF((D45-C45)&gt;0,D45-C45,0)</f>
        <v>0</v>
      </c>
      <c r="G45" s="47">
        <f t="shared" ref="G45" si="15">IF(E45&gt;0,E45,0)</f>
        <v>0</v>
      </c>
      <c r="H45" s="47">
        <f t="shared" ref="H45" si="16">IF(F45&gt;0,F45,0)</f>
        <v>0</v>
      </c>
      <c r="I45" s="47">
        <v>0</v>
      </c>
      <c r="J45" s="47">
        <v>0</v>
      </c>
    </row>
    <row r="46" spans="1:10">
      <c r="A46" s="62">
        <v>34003</v>
      </c>
      <c r="B46" s="53" t="s">
        <v>553</v>
      </c>
      <c r="C46" s="47">
        <f>+'Libro Diario 2023 '!D80</f>
        <v>152349835.95714286</v>
      </c>
      <c r="D46" s="47">
        <f>+'Libro Diario 2023 '!E37</f>
        <v>507832786.52380955</v>
      </c>
      <c r="E46" s="47">
        <f t="shared" ref="E46" si="17">+IF(C46-D46&gt;0,C46-D46,0)</f>
        <v>0</v>
      </c>
      <c r="F46" s="47">
        <f t="shared" ref="F46" si="18">IF((D46-C46)&gt;0,D46-C46,0)</f>
        <v>355482950.56666672</v>
      </c>
      <c r="G46" s="47">
        <f t="shared" ref="G46" si="19">IF(E46&gt;0,E46,0)</f>
        <v>0</v>
      </c>
      <c r="H46" s="47">
        <f t="shared" ref="H46" si="20">IF(F46&gt;0,F46,0)</f>
        <v>355482950.56666672</v>
      </c>
      <c r="I46" s="47">
        <v>0</v>
      </c>
      <c r="J46" s="47">
        <v>0</v>
      </c>
    </row>
    <row r="47" spans="1:10">
      <c r="A47" s="62">
        <v>41001</v>
      </c>
      <c r="B47" s="53" t="s">
        <v>94</v>
      </c>
      <c r="C47" s="47">
        <f>+'Libro Diario 2023 '!D54</f>
        <v>280000000</v>
      </c>
      <c r="D47" s="47"/>
      <c r="E47" s="47">
        <f t="shared" ref="E47:E69" si="21">IF(C47&gt;D47,(C47-D47),0)</f>
        <v>280000000</v>
      </c>
      <c r="F47" s="47">
        <f t="shared" ref="F47:F69" si="22">IF(D47&gt;C47,D47-C47,0)</f>
        <v>0</v>
      </c>
      <c r="G47" s="47"/>
      <c r="H47" s="47"/>
      <c r="I47" s="47">
        <f t="shared" ref="I47:I69" si="23">IF(E47&gt;F47,E47,0)</f>
        <v>280000000</v>
      </c>
      <c r="J47" s="47">
        <f t="shared" ref="J47:J69" si="24">IF(F47&gt;E47,F47,0)</f>
        <v>0</v>
      </c>
    </row>
    <row r="48" spans="1:10">
      <c r="A48" s="62">
        <v>42001</v>
      </c>
      <c r="B48" s="53" t="s">
        <v>63</v>
      </c>
      <c r="C48" s="47">
        <f>+'Libro Diario 2023 '!D96</f>
        <v>66000000</v>
      </c>
      <c r="D48" s="47">
        <f>+'Libro Diario 2023 '!E102</f>
        <v>2016666.6666666665</v>
      </c>
      <c r="E48" s="47">
        <f t="shared" si="21"/>
        <v>63983333.333333336</v>
      </c>
      <c r="F48" s="47">
        <f t="shared" si="22"/>
        <v>0</v>
      </c>
      <c r="G48" s="47"/>
      <c r="H48" s="47"/>
      <c r="I48" s="47">
        <f t="shared" si="23"/>
        <v>63983333.333333336</v>
      </c>
      <c r="J48" s="47">
        <f t="shared" si="24"/>
        <v>0</v>
      </c>
    </row>
    <row r="49" spans="1:13">
      <c r="A49" s="62">
        <v>42002</v>
      </c>
      <c r="B49" s="53" t="s">
        <v>77</v>
      </c>
      <c r="C49" s="47">
        <f>+'Libro Diario 2023 '!D97</f>
        <v>3300000</v>
      </c>
      <c r="D49" s="47"/>
      <c r="E49" s="47">
        <f t="shared" si="21"/>
        <v>3300000</v>
      </c>
      <c r="F49" s="47">
        <f t="shared" si="22"/>
        <v>0</v>
      </c>
      <c r="G49" s="47"/>
      <c r="H49" s="47"/>
      <c r="I49" s="47">
        <f t="shared" si="23"/>
        <v>3300000</v>
      </c>
      <c r="J49" s="47">
        <f t="shared" si="24"/>
        <v>0</v>
      </c>
    </row>
    <row r="50" spans="1:13">
      <c r="A50" s="62">
        <v>42051</v>
      </c>
      <c r="B50" s="53" t="s">
        <v>64</v>
      </c>
      <c r="C50" s="47"/>
      <c r="D50" s="47"/>
      <c r="E50" s="47">
        <f t="shared" si="21"/>
        <v>0</v>
      </c>
      <c r="F50" s="47">
        <f t="shared" si="22"/>
        <v>0</v>
      </c>
      <c r="G50" s="47"/>
      <c r="H50" s="47"/>
      <c r="I50" s="47">
        <f t="shared" si="23"/>
        <v>0</v>
      </c>
      <c r="J50" s="47">
        <f t="shared" si="24"/>
        <v>0</v>
      </c>
    </row>
    <row r="51" spans="1:13">
      <c r="A51" s="62">
        <v>43001</v>
      </c>
      <c r="B51" s="53" t="s">
        <v>95</v>
      </c>
      <c r="C51" s="47">
        <f>+'Libro Diario 2023 '!D122</f>
        <v>790000</v>
      </c>
      <c r="D51" s="47"/>
      <c r="E51" s="47">
        <f t="shared" si="21"/>
        <v>790000</v>
      </c>
      <c r="F51" s="47">
        <f t="shared" si="22"/>
        <v>0</v>
      </c>
      <c r="G51" s="47"/>
      <c r="H51" s="47"/>
      <c r="I51" s="47">
        <f t="shared" si="23"/>
        <v>790000</v>
      </c>
      <c r="J51" s="47">
        <f t="shared" si="24"/>
        <v>0</v>
      </c>
    </row>
    <row r="52" spans="1:13">
      <c r="A52" s="62">
        <v>43002</v>
      </c>
      <c r="B52" s="53" t="s">
        <v>390</v>
      </c>
      <c r="C52" s="47">
        <f>+'Libro Diario 2023 '!D145</f>
        <v>2450000</v>
      </c>
      <c r="D52" s="47"/>
      <c r="E52" s="47">
        <f t="shared" si="21"/>
        <v>2450000</v>
      </c>
      <c r="F52" s="47">
        <f t="shared" si="22"/>
        <v>0</v>
      </c>
      <c r="G52" s="47"/>
      <c r="H52" s="47"/>
      <c r="I52" s="47">
        <f t="shared" si="23"/>
        <v>2450000</v>
      </c>
      <c r="J52" s="47">
        <f t="shared" si="24"/>
        <v>0</v>
      </c>
    </row>
    <row r="53" spans="1:13">
      <c r="A53" s="62" t="s">
        <v>65</v>
      </c>
      <c r="B53" s="53" t="s">
        <v>66</v>
      </c>
      <c r="C53" s="47"/>
      <c r="D53" s="47"/>
      <c r="E53" s="47">
        <f t="shared" si="21"/>
        <v>0</v>
      </c>
      <c r="F53" s="47">
        <f t="shared" si="22"/>
        <v>0</v>
      </c>
      <c r="G53" s="47"/>
      <c r="H53" s="47"/>
      <c r="I53" s="47">
        <f t="shared" si="23"/>
        <v>0</v>
      </c>
      <c r="J53" s="47">
        <f t="shared" si="24"/>
        <v>0</v>
      </c>
    </row>
    <row r="54" spans="1:13">
      <c r="A54" s="62" t="s">
        <v>67</v>
      </c>
      <c r="B54" s="53" t="s">
        <v>68</v>
      </c>
      <c r="C54" s="47">
        <f>+'Libro Diario 2023 '!D152</f>
        <v>41943606.758584037</v>
      </c>
      <c r="D54" s="47"/>
      <c r="E54" s="47">
        <f t="shared" si="21"/>
        <v>41943606.758584037</v>
      </c>
      <c r="F54" s="47">
        <f t="shared" si="22"/>
        <v>0</v>
      </c>
      <c r="G54" s="47"/>
      <c r="H54" s="47"/>
      <c r="I54" s="47">
        <f t="shared" si="23"/>
        <v>41943606.758584037</v>
      </c>
      <c r="J54" s="47">
        <f t="shared" si="24"/>
        <v>0</v>
      </c>
    </row>
    <row r="55" spans="1:13">
      <c r="A55" s="62" t="s">
        <v>533</v>
      </c>
      <c r="B55" s="53" t="s">
        <v>534</v>
      </c>
      <c r="C55" s="47"/>
      <c r="D55" s="47"/>
      <c r="E55" s="47">
        <f t="shared" si="21"/>
        <v>0</v>
      </c>
      <c r="F55" s="47">
        <f t="shared" si="22"/>
        <v>0</v>
      </c>
      <c r="G55" s="47"/>
      <c r="H55" s="47"/>
      <c r="I55" s="47">
        <f t="shared" si="23"/>
        <v>0</v>
      </c>
      <c r="J55" s="47">
        <f t="shared" si="24"/>
        <v>0</v>
      </c>
    </row>
    <row r="56" spans="1:13">
      <c r="A56" s="62">
        <v>45101</v>
      </c>
      <c r="B56" s="53" t="s">
        <v>232</v>
      </c>
      <c r="C56" s="47">
        <f>+'Libro Diario 2023 '!D125</f>
        <v>5600000</v>
      </c>
      <c r="D56" s="47"/>
      <c r="E56" s="47">
        <f t="shared" si="21"/>
        <v>5600000</v>
      </c>
      <c r="F56" s="47">
        <f t="shared" si="22"/>
        <v>0</v>
      </c>
      <c r="G56" s="47"/>
      <c r="H56" s="47"/>
      <c r="I56" s="47">
        <f t="shared" si="23"/>
        <v>5600000</v>
      </c>
      <c r="J56" s="47">
        <f t="shared" si="24"/>
        <v>0</v>
      </c>
    </row>
    <row r="57" spans="1:13">
      <c r="A57" s="62">
        <v>46001</v>
      </c>
      <c r="B57" s="53" t="s">
        <v>167</v>
      </c>
      <c r="C57" s="47"/>
      <c r="D57" s="47"/>
      <c r="E57" s="47">
        <f t="shared" si="21"/>
        <v>0</v>
      </c>
      <c r="F57" s="47">
        <f t="shared" si="22"/>
        <v>0</v>
      </c>
      <c r="G57" s="47"/>
      <c r="H57" s="47"/>
      <c r="I57" s="47">
        <f t="shared" si="23"/>
        <v>0</v>
      </c>
      <c r="J57" s="47">
        <f t="shared" si="24"/>
        <v>0</v>
      </c>
    </row>
    <row r="58" spans="1:13">
      <c r="A58" s="62">
        <v>47141</v>
      </c>
      <c r="B58" s="53" t="s">
        <v>79</v>
      </c>
      <c r="C58" s="47">
        <f>+'Libro Diario 2023 '!D119+'Libro Diario 2023 '!D148</f>
        <v>29747500</v>
      </c>
      <c r="D58" s="47"/>
      <c r="E58" s="47">
        <f t="shared" si="21"/>
        <v>29747500</v>
      </c>
      <c r="F58" s="47">
        <f t="shared" si="22"/>
        <v>0</v>
      </c>
      <c r="G58" s="47"/>
      <c r="H58" s="47"/>
      <c r="I58" s="47">
        <f t="shared" si="23"/>
        <v>29747500</v>
      </c>
      <c r="J58" s="47">
        <f t="shared" si="24"/>
        <v>0</v>
      </c>
    </row>
    <row r="59" spans="1:13">
      <c r="A59" s="62">
        <v>47151</v>
      </c>
      <c r="B59" s="53" t="s">
        <v>82</v>
      </c>
      <c r="C59" s="47">
        <f>+'Libro Diario 2023 '!D112</f>
        <v>2450000.0000000005</v>
      </c>
      <c r="D59" s="47"/>
      <c r="E59" s="47">
        <f t="shared" si="21"/>
        <v>2450000.0000000005</v>
      </c>
      <c r="F59" s="47">
        <f t="shared" si="22"/>
        <v>0</v>
      </c>
      <c r="G59" s="47"/>
      <c r="H59" s="47"/>
      <c r="I59" s="47">
        <f t="shared" si="23"/>
        <v>2450000.0000000005</v>
      </c>
      <c r="J59" s="47">
        <f t="shared" si="24"/>
        <v>0</v>
      </c>
    </row>
    <row r="60" spans="1:13">
      <c r="A60" s="62">
        <v>47152</v>
      </c>
      <c r="B60" s="53" t="s">
        <v>18</v>
      </c>
      <c r="C60" s="47">
        <f>+'Libro Diario 2023 '!D116</f>
        <v>850000</v>
      </c>
      <c r="D60" s="47"/>
      <c r="E60" s="47">
        <f t="shared" si="21"/>
        <v>850000</v>
      </c>
      <c r="F60" s="47">
        <f t="shared" si="22"/>
        <v>0</v>
      </c>
      <c r="G60" s="47"/>
      <c r="H60" s="47"/>
      <c r="I60" s="47">
        <f t="shared" si="23"/>
        <v>850000</v>
      </c>
      <c r="J60" s="47">
        <f t="shared" si="24"/>
        <v>0</v>
      </c>
    </row>
    <row r="61" spans="1:13">
      <c r="A61" s="62">
        <v>48001</v>
      </c>
      <c r="B61" s="53" t="s">
        <v>83</v>
      </c>
      <c r="C61" s="47"/>
      <c r="D61" s="47"/>
      <c r="E61" s="47">
        <f t="shared" si="21"/>
        <v>0</v>
      </c>
      <c r="F61" s="47">
        <f t="shared" si="22"/>
        <v>0</v>
      </c>
      <c r="G61" s="47"/>
      <c r="H61" s="47"/>
      <c r="I61" s="47">
        <f t="shared" si="23"/>
        <v>0</v>
      </c>
      <c r="J61" s="47">
        <f t="shared" si="24"/>
        <v>0</v>
      </c>
      <c r="M61" s="5"/>
    </row>
    <row r="62" spans="1:13">
      <c r="A62" s="62">
        <v>48101</v>
      </c>
      <c r="B62" s="53" t="s">
        <v>93</v>
      </c>
      <c r="C62" s="47">
        <f>+'Libro Diario 2023 '!D77</f>
        <v>1120448.1792717087</v>
      </c>
      <c r="D62" s="47"/>
      <c r="E62" s="47">
        <f t="shared" si="21"/>
        <v>1120448.1792717087</v>
      </c>
      <c r="F62" s="47">
        <f t="shared" si="22"/>
        <v>0</v>
      </c>
      <c r="G62" s="47"/>
      <c r="H62" s="47"/>
      <c r="I62" s="47">
        <f t="shared" si="23"/>
        <v>1120448.1792717087</v>
      </c>
      <c r="J62" s="47">
        <f t="shared" si="24"/>
        <v>0</v>
      </c>
      <c r="M62" s="5"/>
    </row>
    <row r="63" spans="1:13">
      <c r="A63" s="62">
        <v>48150</v>
      </c>
      <c r="B63" s="53" t="s">
        <v>87</v>
      </c>
      <c r="C63" s="47">
        <f>+'Libro Diario 2023 '!D65</f>
        <v>11732212.442495923</v>
      </c>
      <c r="D63" s="47"/>
      <c r="E63" s="47">
        <f t="shared" si="21"/>
        <v>11732212.442495923</v>
      </c>
      <c r="F63" s="47">
        <f t="shared" si="22"/>
        <v>0</v>
      </c>
      <c r="G63" s="47"/>
      <c r="H63" s="47"/>
      <c r="I63" s="47">
        <f t="shared" si="23"/>
        <v>11732212.442495923</v>
      </c>
      <c r="J63" s="47">
        <f t="shared" si="24"/>
        <v>0</v>
      </c>
      <c r="M63" s="5"/>
    </row>
    <row r="64" spans="1:13">
      <c r="A64" s="62">
        <v>49001</v>
      </c>
      <c r="B64" s="53" t="s">
        <v>85</v>
      </c>
      <c r="C64" s="47">
        <f>+'Libro Diario 2023 '!D137</f>
        <v>6880952.3809523806</v>
      </c>
      <c r="D64" s="47"/>
      <c r="E64" s="47">
        <f t="shared" si="21"/>
        <v>6880952.3809523806</v>
      </c>
      <c r="F64" s="47">
        <f t="shared" si="22"/>
        <v>0</v>
      </c>
      <c r="G64" s="47"/>
      <c r="H64" s="47"/>
      <c r="I64" s="47">
        <f t="shared" si="23"/>
        <v>6880952.3809523806</v>
      </c>
      <c r="J64" s="47">
        <f t="shared" si="24"/>
        <v>0</v>
      </c>
    </row>
    <row r="65" spans="1:10">
      <c r="A65" s="62">
        <v>49101</v>
      </c>
      <c r="B65" s="53" t="s">
        <v>86</v>
      </c>
      <c r="C65" s="47">
        <f>+'Libro Diario 2023 '!D138</f>
        <v>1666666.6666666665</v>
      </c>
      <c r="D65" s="47"/>
      <c r="E65" s="47">
        <f t="shared" si="21"/>
        <v>1666666.6666666665</v>
      </c>
      <c r="F65" s="47">
        <f t="shared" si="22"/>
        <v>0</v>
      </c>
      <c r="G65" s="47"/>
      <c r="H65" s="47"/>
      <c r="I65" s="47">
        <f t="shared" si="23"/>
        <v>1666666.6666666665</v>
      </c>
      <c r="J65" s="47">
        <f t="shared" si="24"/>
        <v>0</v>
      </c>
    </row>
    <row r="66" spans="1:10">
      <c r="A66" s="62">
        <v>49120</v>
      </c>
      <c r="B66" s="53" t="s">
        <v>90</v>
      </c>
      <c r="C66" s="47"/>
      <c r="D66" s="47"/>
      <c r="E66" s="47">
        <f t="shared" si="21"/>
        <v>0</v>
      </c>
      <c r="F66" s="47">
        <f t="shared" si="22"/>
        <v>0</v>
      </c>
      <c r="G66" s="47"/>
      <c r="H66" s="47"/>
      <c r="I66" s="47">
        <f t="shared" si="23"/>
        <v>0</v>
      </c>
      <c r="J66" s="47">
        <f t="shared" si="24"/>
        <v>0</v>
      </c>
    </row>
    <row r="67" spans="1:10">
      <c r="A67" s="62">
        <v>50001</v>
      </c>
      <c r="B67" s="53" t="s">
        <v>17</v>
      </c>
      <c r="C67" s="47"/>
      <c r="D67" s="47">
        <f>+'Libro Diario 2023 '!E94</f>
        <v>520000</v>
      </c>
      <c r="E67" s="47">
        <f t="shared" si="21"/>
        <v>0</v>
      </c>
      <c r="F67" s="47">
        <f t="shared" si="22"/>
        <v>520000</v>
      </c>
      <c r="G67" s="47"/>
      <c r="H67" s="47"/>
      <c r="I67" s="47">
        <f t="shared" si="23"/>
        <v>0</v>
      </c>
      <c r="J67" s="47">
        <f t="shared" si="24"/>
        <v>520000</v>
      </c>
    </row>
    <row r="68" spans="1:10">
      <c r="A68" s="62">
        <v>50051</v>
      </c>
      <c r="B68" s="53" t="s">
        <v>78</v>
      </c>
      <c r="C68" s="47"/>
      <c r="D68" s="47">
        <f>+'Libro Diario 2023 '!E143</f>
        <v>410000</v>
      </c>
      <c r="E68" s="47">
        <f t="shared" si="21"/>
        <v>0</v>
      </c>
      <c r="F68" s="47">
        <f t="shared" si="22"/>
        <v>410000</v>
      </c>
      <c r="G68" s="47"/>
      <c r="H68" s="47"/>
      <c r="I68" s="47">
        <f t="shared" si="23"/>
        <v>0</v>
      </c>
      <c r="J68" s="47">
        <f t="shared" si="24"/>
        <v>410000</v>
      </c>
    </row>
    <row r="69" spans="1:10">
      <c r="A69" s="62">
        <v>51001</v>
      </c>
      <c r="B69" s="53" t="s">
        <v>71</v>
      </c>
      <c r="C69" s="47"/>
      <c r="D69" s="47">
        <f>+'Libro Diario 2023 '!E52</f>
        <v>700000000</v>
      </c>
      <c r="E69" s="47">
        <f t="shared" si="21"/>
        <v>0</v>
      </c>
      <c r="F69" s="47">
        <f t="shared" si="22"/>
        <v>700000000</v>
      </c>
      <c r="G69" s="47"/>
      <c r="H69" s="47"/>
      <c r="I69" s="47">
        <f t="shared" si="23"/>
        <v>0</v>
      </c>
      <c r="J69" s="47">
        <f t="shared" si="24"/>
        <v>700000000</v>
      </c>
    </row>
    <row r="70" spans="1:10" ht="15.75">
      <c r="A70" s="59"/>
      <c r="B70" s="55"/>
      <c r="C70" s="56">
        <f>SUM(C5:C69)</f>
        <v>4570079660.0847425</v>
      </c>
      <c r="D70" s="56">
        <f>SUM(D5:D69)</f>
        <v>4570079660.0847416</v>
      </c>
      <c r="E70" s="56">
        <f>SUM(E5:E69)</f>
        <v>1819932941.4710431</v>
      </c>
      <c r="F70" s="56">
        <f>SUM(F5:F69)</f>
        <v>1819932941.4710433</v>
      </c>
      <c r="G70" s="56">
        <f>SUM(G5:G69)</f>
        <v>1367418221.7097392</v>
      </c>
      <c r="H70" s="56">
        <f>SUM(H5:H69)</f>
        <v>1119002941.4710433</v>
      </c>
      <c r="I70" s="56">
        <f>SUM(I5:I69)</f>
        <v>452514719.76130402</v>
      </c>
      <c r="J70" s="56">
        <f>SUM(J5:J69)</f>
        <v>700930000</v>
      </c>
    </row>
    <row r="71" spans="1:10" ht="15.75">
      <c r="A71" s="60"/>
      <c r="B71" s="57" t="s">
        <v>197</v>
      </c>
      <c r="C71" s="56"/>
      <c r="D71" s="56"/>
      <c r="E71" s="56"/>
      <c r="F71" s="56"/>
      <c r="G71" s="56"/>
      <c r="H71" s="56">
        <f>+G70-H70</f>
        <v>248415280.23869586</v>
      </c>
      <c r="I71" s="56">
        <f>+J70-I70</f>
        <v>248415280.23869598</v>
      </c>
      <c r="J71" s="56"/>
    </row>
    <row r="72" spans="1:10">
      <c r="A72" s="60"/>
      <c r="B72" s="53" t="s">
        <v>0</v>
      </c>
      <c r="C72" s="54">
        <f>+C70+C71</f>
        <v>4570079660.0847425</v>
      </c>
      <c r="D72" s="54">
        <f t="shared" ref="D72:J72" si="25">+D70+D71</f>
        <v>4570079660.0847416</v>
      </c>
      <c r="E72" s="54">
        <f t="shared" si="25"/>
        <v>1819932941.4710431</v>
      </c>
      <c r="F72" s="54">
        <f t="shared" si="25"/>
        <v>1819932941.4710433</v>
      </c>
      <c r="G72" s="54">
        <f t="shared" si="25"/>
        <v>1367418221.7097392</v>
      </c>
      <c r="H72" s="54">
        <f t="shared" si="25"/>
        <v>1367418221.7097392</v>
      </c>
      <c r="I72" s="54">
        <f t="shared" si="25"/>
        <v>700930000</v>
      </c>
      <c r="J72" s="54">
        <f t="shared" si="25"/>
        <v>700930000</v>
      </c>
    </row>
    <row r="73" spans="1:10">
      <c r="D73" s="5">
        <f>+C72-D72</f>
        <v>0</v>
      </c>
      <c r="E73" s="5"/>
      <c r="F73" s="5">
        <f t="shared" ref="F73" si="26">+E72-F72</f>
        <v>0</v>
      </c>
      <c r="G73" s="5"/>
      <c r="H73" s="5"/>
      <c r="I73" s="5"/>
      <c r="J73" s="5"/>
    </row>
  </sheetData>
  <pageMargins left="0.75" right="0.75" top="1" bottom="1" header="0.5" footer="0.5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02"/>
  <sheetViews>
    <sheetView showGridLines="0" zoomScale="112" zoomScaleNormal="112" workbookViewId="0">
      <selection activeCell="B79" sqref="B79"/>
    </sheetView>
  </sheetViews>
  <sheetFormatPr baseColWidth="10" defaultColWidth="14.5703125" defaultRowHeight="15"/>
  <cols>
    <col min="1" max="1" width="2.7109375" style="234" customWidth="1"/>
    <col min="2" max="2" width="79.140625" style="234" customWidth="1"/>
    <col min="3" max="3" width="55.28515625" style="234" customWidth="1"/>
    <col min="4" max="4" width="24.28515625" style="234" customWidth="1"/>
    <col min="5" max="5" width="16.5703125" style="234" customWidth="1"/>
    <col min="6" max="7" width="3.42578125" style="234" customWidth="1"/>
    <col min="8" max="244" width="11.42578125" style="234" customWidth="1"/>
    <col min="245" max="246" width="2.7109375" style="234" customWidth="1"/>
    <col min="247" max="250" width="14.5703125" style="234"/>
    <col min="251" max="251" width="2.7109375" style="234" customWidth="1"/>
    <col min="252" max="252" width="48.28515625" style="234" customWidth="1"/>
    <col min="253" max="253" width="34.28515625" style="234" customWidth="1"/>
    <col min="254" max="254" width="24.28515625" style="234" customWidth="1"/>
    <col min="255" max="255" width="16.5703125" style="234" customWidth="1"/>
    <col min="256" max="257" width="3.42578125" style="234" customWidth="1"/>
    <col min="258" max="258" width="11.42578125" style="234" customWidth="1"/>
    <col min="259" max="259" width="21.42578125" style="234" customWidth="1"/>
    <col min="260" max="500" width="11.42578125" style="234" customWidth="1"/>
    <col min="501" max="502" width="2.7109375" style="234" customWidth="1"/>
    <col min="503" max="506" width="14.5703125" style="234"/>
    <col min="507" max="507" width="2.7109375" style="234" customWidth="1"/>
    <col min="508" max="508" width="48.28515625" style="234" customWidth="1"/>
    <col min="509" max="509" width="34.28515625" style="234" customWidth="1"/>
    <col min="510" max="510" width="24.28515625" style="234" customWidth="1"/>
    <col min="511" max="511" width="16.5703125" style="234" customWidth="1"/>
    <col min="512" max="513" width="3.42578125" style="234" customWidth="1"/>
    <col min="514" max="514" width="11.42578125" style="234" customWidth="1"/>
    <col min="515" max="515" width="21.42578125" style="234" customWidth="1"/>
    <col min="516" max="756" width="11.42578125" style="234" customWidth="1"/>
    <col min="757" max="758" width="2.7109375" style="234" customWidth="1"/>
    <col min="759" max="762" width="14.5703125" style="234"/>
    <col min="763" max="763" width="2.7109375" style="234" customWidth="1"/>
    <col min="764" max="764" width="48.28515625" style="234" customWidth="1"/>
    <col min="765" max="765" width="34.28515625" style="234" customWidth="1"/>
    <col min="766" max="766" width="24.28515625" style="234" customWidth="1"/>
    <col min="767" max="767" width="16.5703125" style="234" customWidth="1"/>
    <col min="768" max="769" width="3.42578125" style="234" customWidth="1"/>
    <col min="770" max="770" width="11.42578125" style="234" customWidth="1"/>
    <col min="771" max="771" width="21.42578125" style="234" customWidth="1"/>
    <col min="772" max="1012" width="11.42578125" style="234" customWidth="1"/>
    <col min="1013" max="1014" width="2.7109375" style="234" customWidth="1"/>
    <col min="1015" max="1018" width="14.5703125" style="234"/>
    <col min="1019" max="1019" width="2.7109375" style="234" customWidth="1"/>
    <col min="1020" max="1020" width="48.28515625" style="234" customWidth="1"/>
    <col min="1021" max="1021" width="34.28515625" style="234" customWidth="1"/>
    <col min="1022" max="1022" width="24.28515625" style="234" customWidth="1"/>
    <col min="1023" max="1023" width="16.5703125" style="234" customWidth="1"/>
    <col min="1024" max="1025" width="3.42578125" style="234" customWidth="1"/>
    <col min="1026" max="1026" width="11.42578125" style="234" customWidth="1"/>
    <col min="1027" max="1027" width="21.42578125" style="234" customWidth="1"/>
    <col min="1028" max="1268" width="11.42578125" style="234" customWidth="1"/>
    <col min="1269" max="1270" width="2.7109375" style="234" customWidth="1"/>
    <col min="1271" max="1274" width="14.5703125" style="234"/>
    <col min="1275" max="1275" width="2.7109375" style="234" customWidth="1"/>
    <col min="1276" max="1276" width="48.28515625" style="234" customWidth="1"/>
    <col min="1277" max="1277" width="34.28515625" style="234" customWidth="1"/>
    <col min="1278" max="1278" width="24.28515625" style="234" customWidth="1"/>
    <col min="1279" max="1279" width="16.5703125" style="234" customWidth="1"/>
    <col min="1280" max="1281" width="3.42578125" style="234" customWidth="1"/>
    <col min="1282" max="1282" width="11.42578125" style="234" customWidth="1"/>
    <col min="1283" max="1283" width="21.42578125" style="234" customWidth="1"/>
    <col min="1284" max="1524" width="11.42578125" style="234" customWidth="1"/>
    <col min="1525" max="1526" width="2.7109375" style="234" customWidth="1"/>
    <col min="1527" max="1530" width="14.5703125" style="234"/>
    <col min="1531" max="1531" width="2.7109375" style="234" customWidth="1"/>
    <col min="1532" max="1532" width="48.28515625" style="234" customWidth="1"/>
    <col min="1533" max="1533" width="34.28515625" style="234" customWidth="1"/>
    <col min="1534" max="1534" width="24.28515625" style="234" customWidth="1"/>
    <col min="1535" max="1535" width="16.5703125" style="234" customWidth="1"/>
    <col min="1536" max="1537" width="3.42578125" style="234" customWidth="1"/>
    <col min="1538" max="1538" width="11.42578125" style="234" customWidth="1"/>
    <col min="1539" max="1539" width="21.42578125" style="234" customWidth="1"/>
    <col min="1540" max="1780" width="11.42578125" style="234" customWidth="1"/>
    <col min="1781" max="1782" width="2.7109375" style="234" customWidth="1"/>
    <col min="1783" max="1786" width="14.5703125" style="234"/>
    <col min="1787" max="1787" width="2.7109375" style="234" customWidth="1"/>
    <col min="1788" max="1788" width="48.28515625" style="234" customWidth="1"/>
    <col min="1789" max="1789" width="34.28515625" style="234" customWidth="1"/>
    <col min="1790" max="1790" width="24.28515625" style="234" customWidth="1"/>
    <col min="1791" max="1791" width="16.5703125" style="234" customWidth="1"/>
    <col min="1792" max="1793" width="3.42578125" style="234" customWidth="1"/>
    <col min="1794" max="1794" width="11.42578125" style="234" customWidth="1"/>
    <col min="1795" max="1795" width="21.42578125" style="234" customWidth="1"/>
    <col min="1796" max="2036" width="11.42578125" style="234" customWidth="1"/>
    <col min="2037" max="2038" width="2.7109375" style="234" customWidth="1"/>
    <col min="2039" max="2042" width="14.5703125" style="234"/>
    <col min="2043" max="2043" width="2.7109375" style="234" customWidth="1"/>
    <col min="2044" max="2044" width="48.28515625" style="234" customWidth="1"/>
    <col min="2045" max="2045" width="34.28515625" style="234" customWidth="1"/>
    <col min="2046" max="2046" width="24.28515625" style="234" customWidth="1"/>
    <col min="2047" max="2047" width="16.5703125" style="234" customWidth="1"/>
    <col min="2048" max="2049" width="3.42578125" style="234" customWidth="1"/>
    <col min="2050" max="2050" width="11.42578125" style="234" customWidth="1"/>
    <col min="2051" max="2051" width="21.42578125" style="234" customWidth="1"/>
    <col min="2052" max="2292" width="11.42578125" style="234" customWidth="1"/>
    <col min="2293" max="2294" width="2.7109375" style="234" customWidth="1"/>
    <col min="2295" max="2298" width="14.5703125" style="234"/>
    <col min="2299" max="2299" width="2.7109375" style="234" customWidth="1"/>
    <col min="2300" max="2300" width="48.28515625" style="234" customWidth="1"/>
    <col min="2301" max="2301" width="34.28515625" style="234" customWidth="1"/>
    <col min="2302" max="2302" width="24.28515625" style="234" customWidth="1"/>
    <col min="2303" max="2303" width="16.5703125" style="234" customWidth="1"/>
    <col min="2304" max="2305" width="3.42578125" style="234" customWidth="1"/>
    <col min="2306" max="2306" width="11.42578125" style="234" customWidth="1"/>
    <col min="2307" max="2307" width="21.42578125" style="234" customWidth="1"/>
    <col min="2308" max="2548" width="11.42578125" style="234" customWidth="1"/>
    <col min="2549" max="2550" width="2.7109375" style="234" customWidth="1"/>
    <col min="2551" max="2554" width="14.5703125" style="234"/>
    <col min="2555" max="2555" width="2.7109375" style="234" customWidth="1"/>
    <col min="2556" max="2556" width="48.28515625" style="234" customWidth="1"/>
    <col min="2557" max="2557" width="34.28515625" style="234" customWidth="1"/>
    <col min="2558" max="2558" width="24.28515625" style="234" customWidth="1"/>
    <col min="2559" max="2559" width="16.5703125" style="234" customWidth="1"/>
    <col min="2560" max="2561" width="3.42578125" style="234" customWidth="1"/>
    <col min="2562" max="2562" width="11.42578125" style="234" customWidth="1"/>
    <col min="2563" max="2563" width="21.42578125" style="234" customWidth="1"/>
    <col min="2564" max="2804" width="11.42578125" style="234" customWidth="1"/>
    <col min="2805" max="2806" width="2.7109375" style="234" customWidth="1"/>
    <col min="2807" max="2810" width="14.5703125" style="234"/>
    <col min="2811" max="2811" width="2.7109375" style="234" customWidth="1"/>
    <col min="2812" max="2812" width="48.28515625" style="234" customWidth="1"/>
    <col min="2813" max="2813" width="34.28515625" style="234" customWidth="1"/>
    <col min="2814" max="2814" width="24.28515625" style="234" customWidth="1"/>
    <col min="2815" max="2815" width="16.5703125" style="234" customWidth="1"/>
    <col min="2816" max="2817" width="3.42578125" style="234" customWidth="1"/>
    <col min="2818" max="2818" width="11.42578125" style="234" customWidth="1"/>
    <col min="2819" max="2819" width="21.42578125" style="234" customWidth="1"/>
    <col min="2820" max="3060" width="11.42578125" style="234" customWidth="1"/>
    <col min="3061" max="3062" width="2.7109375" style="234" customWidth="1"/>
    <col min="3063" max="3066" width="14.5703125" style="234"/>
    <col min="3067" max="3067" width="2.7109375" style="234" customWidth="1"/>
    <col min="3068" max="3068" width="48.28515625" style="234" customWidth="1"/>
    <col min="3069" max="3069" width="34.28515625" style="234" customWidth="1"/>
    <col min="3070" max="3070" width="24.28515625" style="234" customWidth="1"/>
    <col min="3071" max="3071" width="16.5703125" style="234" customWidth="1"/>
    <col min="3072" max="3073" width="3.42578125" style="234" customWidth="1"/>
    <col min="3074" max="3074" width="11.42578125" style="234" customWidth="1"/>
    <col min="3075" max="3075" width="21.42578125" style="234" customWidth="1"/>
    <col min="3076" max="3316" width="11.42578125" style="234" customWidth="1"/>
    <col min="3317" max="3318" width="2.7109375" style="234" customWidth="1"/>
    <col min="3319" max="3322" width="14.5703125" style="234"/>
    <col min="3323" max="3323" width="2.7109375" style="234" customWidth="1"/>
    <col min="3324" max="3324" width="48.28515625" style="234" customWidth="1"/>
    <col min="3325" max="3325" width="34.28515625" style="234" customWidth="1"/>
    <col min="3326" max="3326" width="24.28515625" style="234" customWidth="1"/>
    <col min="3327" max="3327" width="16.5703125" style="234" customWidth="1"/>
    <col min="3328" max="3329" width="3.42578125" style="234" customWidth="1"/>
    <col min="3330" max="3330" width="11.42578125" style="234" customWidth="1"/>
    <col min="3331" max="3331" width="21.42578125" style="234" customWidth="1"/>
    <col min="3332" max="3572" width="11.42578125" style="234" customWidth="1"/>
    <col min="3573" max="3574" width="2.7109375" style="234" customWidth="1"/>
    <col min="3575" max="3578" width="14.5703125" style="234"/>
    <col min="3579" max="3579" width="2.7109375" style="234" customWidth="1"/>
    <col min="3580" max="3580" width="48.28515625" style="234" customWidth="1"/>
    <col min="3581" max="3581" width="34.28515625" style="234" customWidth="1"/>
    <col min="3582" max="3582" width="24.28515625" style="234" customWidth="1"/>
    <col min="3583" max="3583" width="16.5703125" style="234" customWidth="1"/>
    <col min="3584" max="3585" width="3.42578125" style="234" customWidth="1"/>
    <col min="3586" max="3586" width="11.42578125" style="234" customWidth="1"/>
    <col min="3587" max="3587" width="21.42578125" style="234" customWidth="1"/>
    <col min="3588" max="3828" width="11.42578125" style="234" customWidth="1"/>
    <col min="3829" max="3830" width="2.7109375" style="234" customWidth="1"/>
    <col min="3831" max="3834" width="14.5703125" style="234"/>
    <col min="3835" max="3835" width="2.7109375" style="234" customWidth="1"/>
    <col min="3836" max="3836" width="48.28515625" style="234" customWidth="1"/>
    <col min="3837" max="3837" width="34.28515625" style="234" customWidth="1"/>
    <col min="3838" max="3838" width="24.28515625" style="234" customWidth="1"/>
    <col min="3839" max="3839" width="16.5703125" style="234" customWidth="1"/>
    <col min="3840" max="3841" width="3.42578125" style="234" customWidth="1"/>
    <col min="3842" max="3842" width="11.42578125" style="234" customWidth="1"/>
    <col min="3843" max="3843" width="21.42578125" style="234" customWidth="1"/>
    <col min="3844" max="4084" width="11.42578125" style="234" customWidth="1"/>
    <col min="4085" max="4086" width="2.7109375" style="234" customWidth="1"/>
    <col min="4087" max="4090" width="14.5703125" style="234"/>
    <col min="4091" max="4091" width="2.7109375" style="234" customWidth="1"/>
    <col min="4092" max="4092" width="48.28515625" style="234" customWidth="1"/>
    <col min="4093" max="4093" width="34.28515625" style="234" customWidth="1"/>
    <col min="4094" max="4094" width="24.28515625" style="234" customWidth="1"/>
    <col min="4095" max="4095" width="16.5703125" style="234" customWidth="1"/>
    <col min="4096" max="4097" width="3.42578125" style="234" customWidth="1"/>
    <col min="4098" max="4098" width="11.42578125" style="234" customWidth="1"/>
    <col min="4099" max="4099" width="21.42578125" style="234" customWidth="1"/>
    <col min="4100" max="4340" width="11.42578125" style="234" customWidth="1"/>
    <col min="4341" max="4342" width="2.7109375" style="234" customWidth="1"/>
    <col min="4343" max="4346" width="14.5703125" style="234"/>
    <col min="4347" max="4347" width="2.7109375" style="234" customWidth="1"/>
    <col min="4348" max="4348" width="48.28515625" style="234" customWidth="1"/>
    <col min="4349" max="4349" width="34.28515625" style="234" customWidth="1"/>
    <col min="4350" max="4350" width="24.28515625" style="234" customWidth="1"/>
    <col min="4351" max="4351" width="16.5703125" style="234" customWidth="1"/>
    <col min="4352" max="4353" width="3.42578125" style="234" customWidth="1"/>
    <col min="4354" max="4354" width="11.42578125" style="234" customWidth="1"/>
    <col min="4355" max="4355" width="21.42578125" style="234" customWidth="1"/>
    <col min="4356" max="4596" width="11.42578125" style="234" customWidth="1"/>
    <col min="4597" max="4598" width="2.7109375" style="234" customWidth="1"/>
    <col min="4599" max="4602" width="14.5703125" style="234"/>
    <col min="4603" max="4603" width="2.7109375" style="234" customWidth="1"/>
    <col min="4604" max="4604" width="48.28515625" style="234" customWidth="1"/>
    <col min="4605" max="4605" width="34.28515625" style="234" customWidth="1"/>
    <col min="4606" max="4606" width="24.28515625" style="234" customWidth="1"/>
    <col min="4607" max="4607" width="16.5703125" style="234" customWidth="1"/>
    <col min="4608" max="4609" width="3.42578125" style="234" customWidth="1"/>
    <col min="4610" max="4610" width="11.42578125" style="234" customWidth="1"/>
    <col min="4611" max="4611" width="21.42578125" style="234" customWidth="1"/>
    <col min="4612" max="4852" width="11.42578125" style="234" customWidth="1"/>
    <col min="4853" max="4854" width="2.7109375" style="234" customWidth="1"/>
    <col min="4855" max="4858" width="14.5703125" style="234"/>
    <col min="4859" max="4859" width="2.7109375" style="234" customWidth="1"/>
    <col min="4860" max="4860" width="48.28515625" style="234" customWidth="1"/>
    <col min="4861" max="4861" width="34.28515625" style="234" customWidth="1"/>
    <col min="4862" max="4862" width="24.28515625" style="234" customWidth="1"/>
    <col min="4863" max="4863" width="16.5703125" style="234" customWidth="1"/>
    <col min="4864" max="4865" width="3.42578125" style="234" customWidth="1"/>
    <col min="4866" max="4866" width="11.42578125" style="234" customWidth="1"/>
    <col min="4867" max="4867" width="21.42578125" style="234" customWidth="1"/>
    <col min="4868" max="5108" width="11.42578125" style="234" customWidth="1"/>
    <col min="5109" max="5110" width="2.7109375" style="234" customWidth="1"/>
    <col min="5111" max="5114" width="14.5703125" style="234"/>
    <col min="5115" max="5115" width="2.7109375" style="234" customWidth="1"/>
    <col min="5116" max="5116" width="48.28515625" style="234" customWidth="1"/>
    <col min="5117" max="5117" width="34.28515625" style="234" customWidth="1"/>
    <col min="5118" max="5118" width="24.28515625" style="234" customWidth="1"/>
    <col min="5119" max="5119" width="16.5703125" style="234" customWidth="1"/>
    <col min="5120" max="5121" width="3.42578125" style="234" customWidth="1"/>
    <col min="5122" max="5122" width="11.42578125" style="234" customWidth="1"/>
    <col min="5123" max="5123" width="21.42578125" style="234" customWidth="1"/>
    <col min="5124" max="5364" width="11.42578125" style="234" customWidth="1"/>
    <col min="5365" max="5366" width="2.7109375" style="234" customWidth="1"/>
    <col min="5367" max="5370" width="14.5703125" style="234"/>
    <col min="5371" max="5371" width="2.7109375" style="234" customWidth="1"/>
    <col min="5372" max="5372" width="48.28515625" style="234" customWidth="1"/>
    <col min="5373" max="5373" width="34.28515625" style="234" customWidth="1"/>
    <col min="5374" max="5374" width="24.28515625" style="234" customWidth="1"/>
    <col min="5375" max="5375" width="16.5703125" style="234" customWidth="1"/>
    <col min="5376" max="5377" width="3.42578125" style="234" customWidth="1"/>
    <col min="5378" max="5378" width="11.42578125" style="234" customWidth="1"/>
    <col min="5379" max="5379" width="21.42578125" style="234" customWidth="1"/>
    <col min="5380" max="5620" width="11.42578125" style="234" customWidth="1"/>
    <col min="5621" max="5622" width="2.7109375" style="234" customWidth="1"/>
    <col min="5623" max="5626" width="14.5703125" style="234"/>
    <col min="5627" max="5627" width="2.7109375" style="234" customWidth="1"/>
    <col min="5628" max="5628" width="48.28515625" style="234" customWidth="1"/>
    <col min="5629" max="5629" width="34.28515625" style="234" customWidth="1"/>
    <col min="5630" max="5630" width="24.28515625" style="234" customWidth="1"/>
    <col min="5631" max="5631" width="16.5703125" style="234" customWidth="1"/>
    <col min="5632" max="5633" width="3.42578125" style="234" customWidth="1"/>
    <col min="5634" max="5634" width="11.42578125" style="234" customWidth="1"/>
    <col min="5635" max="5635" width="21.42578125" style="234" customWidth="1"/>
    <col min="5636" max="5876" width="11.42578125" style="234" customWidth="1"/>
    <col min="5877" max="5878" width="2.7109375" style="234" customWidth="1"/>
    <col min="5879" max="5882" width="14.5703125" style="234"/>
    <col min="5883" max="5883" width="2.7109375" style="234" customWidth="1"/>
    <col min="5884" max="5884" width="48.28515625" style="234" customWidth="1"/>
    <col min="5885" max="5885" width="34.28515625" style="234" customWidth="1"/>
    <col min="5886" max="5886" width="24.28515625" style="234" customWidth="1"/>
    <col min="5887" max="5887" width="16.5703125" style="234" customWidth="1"/>
    <col min="5888" max="5889" width="3.42578125" style="234" customWidth="1"/>
    <col min="5890" max="5890" width="11.42578125" style="234" customWidth="1"/>
    <col min="5891" max="5891" width="21.42578125" style="234" customWidth="1"/>
    <col min="5892" max="6132" width="11.42578125" style="234" customWidth="1"/>
    <col min="6133" max="6134" width="2.7109375" style="234" customWidth="1"/>
    <col min="6135" max="6138" width="14.5703125" style="234"/>
    <col min="6139" max="6139" width="2.7109375" style="234" customWidth="1"/>
    <col min="6140" max="6140" width="48.28515625" style="234" customWidth="1"/>
    <col min="6141" max="6141" width="34.28515625" style="234" customWidth="1"/>
    <col min="6142" max="6142" width="24.28515625" style="234" customWidth="1"/>
    <col min="6143" max="6143" width="16.5703125" style="234" customWidth="1"/>
    <col min="6144" max="6145" width="3.42578125" style="234" customWidth="1"/>
    <col min="6146" max="6146" width="11.42578125" style="234" customWidth="1"/>
    <col min="6147" max="6147" width="21.42578125" style="234" customWidth="1"/>
    <col min="6148" max="6388" width="11.42578125" style="234" customWidth="1"/>
    <col min="6389" max="6390" width="2.7109375" style="234" customWidth="1"/>
    <col min="6391" max="6394" width="14.5703125" style="234"/>
    <col min="6395" max="6395" width="2.7109375" style="234" customWidth="1"/>
    <col min="6396" max="6396" width="48.28515625" style="234" customWidth="1"/>
    <col min="6397" max="6397" width="34.28515625" style="234" customWidth="1"/>
    <col min="6398" max="6398" width="24.28515625" style="234" customWidth="1"/>
    <col min="6399" max="6399" width="16.5703125" style="234" customWidth="1"/>
    <col min="6400" max="6401" width="3.42578125" style="234" customWidth="1"/>
    <col min="6402" max="6402" width="11.42578125" style="234" customWidth="1"/>
    <col min="6403" max="6403" width="21.42578125" style="234" customWidth="1"/>
    <col min="6404" max="6644" width="11.42578125" style="234" customWidth="1"/>
    <col min="6645" max="6646" width="2.7109375" style="234" customWidth="1"/>
    <col min="6647" max="6650" width="14.5703125" style="234"/>
    <col min="6651" max="6651" width="2.7109375" style="234" customWidth="1"/>
    <col min="6652" max="6652" width="48.28515625" style="234" customWidth="1"/>
    <col min="6653" max="6653" width="34.28515625" style="234" customWidth="1"/>
    <col min="6654" max="6654" width="24.28515625" style="234" customWidth="1"/>
    <col min="6655" max="6655" width="16.5703125" style="234" customWidth="1"/>
    <col min="6656" max="6657" width="3.42578125" style="234" customWidth="1"/>
    <col min="6658" max="6658" width="11.42578125" style="234" customWidth="1"/>
    <col min="6659" max="6659" width="21.42578125" style="234" customWidth="1"/>
    <col min="6660" max="6900" width="11.42578125" style="234" customWidth="1"/>
    <col min="6901" max="6902" width="2.7109375" style="234" customWidth="1"/>
    <col min="6903" max="6906" width="14.5703125" style="234"/>
    <col min="6907" max="6907" width="2.7109375" style="234" customWidth="1"/>
    <col min="6908" max="6908" width="48.28515625" style="234" customWidth="1"/>
    <col min="6909" max="6909" width="34.28515625" style="234" customWidth="1"/>
    <col min="6910" max="6910" width="24.28515625" style="234" customWidth="1"/>
    <col min="6911" max="6911" width="16.5703125" style="234" customWidth="1"/>
    <col min="6912" max="6913" width="3.42578125" style="234" customWidth="1"/>
    <col min="6914" max="6914" width="11.42578125" style="234" customWidth="1"/>
    <col min="6915" max="6915" width="21.42578125" style="234" customWidth="1"/>
    <col min="6916" max="7156" width="11.42578125" style="234" customWidth="1"/>
    <col min="7157" max="7158" width="2.7109375" style="234" customWidth="1"/>
    <col min="7159" max="7162" width="14.5703125" style="234"/>
    <col min="7163" max="7163" width="2.7109375" style="234" customWidth="1"/>
    <col min="7164" max="7164" width="48.28515625" style="234" customWidth="1"/>
    <col min="7165" max="7165" width="34.28515625" style="234" customWidth="1"/>
    <col min="7166" max="7166" width="24.28515625" style="234" customWidth="1"/>
    <col min="7167" max="7167" width="16.5703125" style="234" customWidth="1"/>
    <col min="7168" max="7169" width="3.42578125" style="234" customWidth="1"/>
    <col min="7170" max="7170" width="11.42578125" style="234" customWidth="1"/>
    <col min="7171" max="7171" width="21.42578125" style="234" customWidth="1"/>
    <col min="7172" max="7412" width="11.42578125" style="234" customWidth="1"/>
    <col min="7413" max="7414" width="2.7109375" style="234" customWidth="1"/>
    <col min="7415" max="7418" width="14.5703125" style="234"/>
    <col min="7419" max="7419" width="2.7109375" style="234" customWidth="1"/>
    <col min="7420" max="7420" width="48.28515625" style="234" customWidth="1"/>
    <col min="7421" max="7421" width="34.28515625" style="234" customWidth="1"/>
    <col min="7422" max="7422" width="24.28515625" style="234" customWidth="1"/>
    <col min="7423" max="7423" width="16.5703125" style="234" customWidth="1"/>
    <col min="7424" max="7425" width="3.42578125" style="234" customWidth="1"/>
    <col min="7426" max="7426" width="11.42578125" style="234" customWidth="1"/>
    <col min="7427" max="7427" width="21.42578125" style="234" customWidth="1"/>
    <col min="7428" max="7668" width="11.42578125" style="234" customWidth="1"/>
    <col min="7669" max="7670" width="2.7109375" style="234" customWidth="1"/>
    <col min="7671" max="7674" width="14.5703125" style="234"/>
    <col min="7675" max="7675" width="2.7109375" style="234" customWidth="1"/>
    <col min="7676" max="7676" width="48.28515625" style="234" customWidth="1"/>
    <col min="7677" max="7677" width="34.28515625" style="234" customWidth="1"/>
    <col min="7678" max="7678" width="24.28515625" style="234" customWidth="1"/>
    <col min="7679" max="7679" width="16.5703125" style="234" customWidth="1"/>
    <col min="7680" max="7681" width="3.42578125" style="234" customWidth="1"/>
    <col min="7682" max="7682" width="11.42578125" style="234" customWidth="1"/>
    <col min="7683" max="7683" width="21.42578125" style="234" customWidth="1"/>
    <col min="7684" max="7924" width="11.42578125" style="234" customWidth="1"/>
    <col min="7925" max="7926" width="2.7109375" style="234" customWidth="1"/>
    <col min="7927" max="7930" width="14.5703125" style="234"/>
    <col min="7931" max="7931" width="2.7109375" style="234" customWidth="1"/>
    <col min="7932" max="7932" width="48.28515625" style="234" customWidth="1"/>
    <col min="7933" max="7933" width="34.28515625" style="234" customWidth="1"/>
    <col min="7934" max="7934" width="24.28515625" style="234" customWidth="1"/>
    <col min="7935" max="7935" width="16.5703125" style="234" customWidth="1"/>
    <col min="7936" max="7937" width="3.42578125" style="234" customWidth="1"/>
    <col min="7938" max="7938" width="11.42578125" style="234" customWidth="1"/>
    <col min="7939" max="7939" width="21.42578125" style="234" customWidth="1"/>
    <col min="7940" max="8180" width="11.42578125" style="234" customWidth="1"/>
    <col min="8181" max="8182" width="2.7109375" style="234" customWidth="1"/>
    <col min="8183" max="8186" width="14.5703125" style="234"/>
    <col min="8187" max="8187" width="2.7109375" style="234" customWidth="1"/>
    <col min="8188" max="8188" width="48.28515625" style="234" customWidth="1"/>
    <col min="8189" max="8189" width="34.28515625" style="234" customWidth="1"/>
    <col min="8190" max="8190" width="24.28515625" style="234" customWidth="1"/>
    <col min="8191" max="8191" width="16.5703125" style="234" customWidth="1"/>
    <col min="8192" max="8193" width="3.42578125" style="234" customWidth="1"/>
    <col min="8194" max="8194" width="11.42578125" style="234" customWidth="1"/>
    <col min="8195" max="8195" width="21.42578125" style="234" customWidth="1"/>
    <col min="8196" max="8436" width="11.42578125" style="234" customWidth="1"/>
    <col min="8437" max="8438" width="2.7109375" style="234" customWidth="1"/>
    <col min="8439" max="8442" width="14.5703125" style="234"/>
    <col min="8443" max="8443" width="2.7109375" style="234" customWidth="1"/>
    <col min="8444" max="8444" width="48.28515625" style="234" customWidth="1"/>
    <col min="8445" max="8445" width="34.28515625" style="234" customWidth="1"/>
    <col min="8446" max="8446" width="24.28515625" style="234" customWidth="1"/>
    <col min="8447" max="8447" width="16.5703125" style="234" customWidth="1"/>
    <col min="8448" max="8449" width="3.42578125" style="234" customWidth="1"/>
    <col min="8450" max="8450" width="11.42578125" style="234" customWidth="1"/>
    <col min="8451" max="8451" width="21.42578125" style="234" customWidth="1"/>
    <col min="8452" max="8692" width="11.42578125" style="234" customWidth="1"/>
    <col min="8693" max="8694" width="2.7109375" style="234" customWidth="1"/>
    <col min="8695" max="8698" width="14.5703125" style="234"/>
    <col min="8699" max="8699" width="2.7109375" style="234" customWidth="1"/>
    <col min="8700" max="8700" width="48.28515625" style="234" customWidth="1"/>
    <col min="8701" max="8701" width="34.28515625" style="234" customWidth="1"/>
    <col min="8702" max="8702" width="24.28515625" style="234" customWidth="1"/>
    <col min="8703" max="8703" width="16.5703125" style="234" customWidth="1"/>
    <col min="8704" max="8705" width="3.42578125" style="234" customWidth="1"/>
    <col min="8706" max="8706" width="11.42578125" style="234" customWidth="1"/>
    <col min="8707" max="8707" width="21.42578125" style="234" customWidth="1"/>
    <col min="8708" max="8948" width="11.42578125" style="234" customWidth="1"/>
    <col min="8949" max="8950" width="2.7109375" style="234" customWidth="1"/>
    <col min="8951" max="8954" width="14.5703125" style="234"/>
    <col min="8955" max="8955" width="2.7109375" style="234" customWidth="1"/>
    <col min="8956" max="8956" width="48.28515625" style="234" customWidth="1"/>
    <col min="8957" max="8957" width="34.28515625" style="234" customWidth="1"/>
    <col min="8958" max="8958" width="24.28515625" style="234" customWidth="1"/>
    <col min="8959" max="8959" width="16.5703125" style="234" customWidth="1"/>
    <col min="8960" max="8961" width="3.42578125" style="234" customWidth="1"/>
    <col min="8962" max="8962" width="11.42578125" style="234" customWidth="1"/>
    <col min="8963" max="8963" width="21.42578125" style="234" customWidth="1"/>
    <col min="8964" max="9204" width="11.42578125" style="234" customWidth="1"/>
    <col min="9205" max="9206" width="2.7109375" style="234" customWidth="1"/>
    <col min="9207" max="9210" width="14.5703125" style="234"/>
    <col min="9211" max="9211" width="2.7109375" style="234" customWidth="1"/>
    <col min="9212" max="9212" width="48.28515625" style="234" customWidth="1"/>
    <col min="9213" max="9213" width="34.28515625" style="234" customWidth="1"/>
    <col min="9214" max="9214" width="24.28515625" style="234" customWidth="1"/>
    <col min="9215" max="9215" width="16.5703125" style="234" customWidth="1"/>
    <col min="9216" max="9217" width="3.42578125" style="234" customWidth="1"/>
    <col min="9218" max="9218" width="11.42578125" style="234" customWidth="1"/>
    <col min="9219" max="9219" width="21.42578125" style="234" customWidth="1"/>
    <col min="9220" max="9460" width="11.42578125" style="234" customWidth="1"/>
    <col min="9461" max="9462" width="2.7109375" style="234" customWidth="1"/>
    <col min="9463" max="9466" width="14.5703125" style="234"/>
    <col min="9467" max="9467" width="2.7109375" style="234" customWidth="1"/>
    <col min="9468" max="9468" width="48.28515625" style="234" customWidth="1"/>
    <col min="9469" max="9469" width="34.28515625" style="234" customWidth="1"/>
    <col min="9470" max="9470" width="24.28515625" style="234" customWidth="1"/>
    <col min="9471" max="9471" width="16.5703125" style="234" customWidth="1"/>
    <col min="9472" max="9473" width="3.42578125" style="234" customWidth="1"/>
    <col min="9474" max="9474" width="11.42578125" style="234" customWidth="1"/>
    <col min="9475" max="9475" width="21.42578125" style="234" customWidth="1"/>
    <col min="9476" max="9716" width="11.42578125" style="234" customWidth="1"/>
    <col min="9717" max="9718" width="2.7109375" style="234" customWidth="1"/>
    <col min="9719" max="9722" width="14.5703125" style="234"/>
    <col min="9723" max="9723" width="2.7109375" style="234" customWidth="1"/>
    <col min="9724" max="9724" width="48.28515625" style="234" customWidth="1"/>
    <col min="9725" max="9725" width="34.28515625" style="234" customWidth="1"/>
    <col min="9726" max="9726" width="24.28515625" style="234" customWidth="1"/>
    <col min="9727" max="9727" width="16.5703125" style="234" customWidth="1"/>
    <col min="9728" max="9729" width="3.42578125" style="234" customWidth="1"/>
    <col min="9730" max="9730" width="11.42578125" style="234" customWidth="1"/>
    <col min="9731" max="9731" width="21.42578125" style="234" customWidth="1"/>
    <col min="9732" max="9972" width="11.42578125" style="234" customWidth="1"/>
    <col min="9973" max="9974" width="2.7109375" style="234" customWidth="1"/>
    <col min="9975" max="9978" width="14.5703125" style="234"/>
    <col min="9979" max="9979" width="2.7109375" style="234" customWidth="1"/>
    <col min="9980" max="9980" width="48.28515625" style="234" customWidth="1"/>
    <col min="9981" max="9981" width="34.28515625" style="234" customWidth="1"/>
    <col min="9982" max="9982" width="24.28515625" style="234" customWidth="1"/>
    <col min="9983" max="9983" width="16.5703125" style="234" customWidth="1"/>
    <col min="9984" max="9985" width="3.42578125" style="234" customWidth="1"/>
    <col min="9986" max="9986" width="11.42578125" style="234" customWidth="1"/>
    <col min="9987" max="9987" width="21.42578125" style="234" customWidth="1"/>
    <col min="9988" max="10228" width="11.42578125" style="234" customWidth="1"/>
    <col min="10229" max="10230" width="2.7109375" style="234" customWidth="1"/>
    <col min="10231" max="10234" width="14.5703125" style="234"/>
    <col min="10235" max="10235" width="2.7109375" style="234" customWidth="1"/>
    <col min="10236" max="10236" width="48.28515625" style="234" customWidth="1"/>
    <col min="10237" max="10237" width="34.28515625" style="234" customWidth="1"/>
    <col min="10238" max="10238" width="24.28515625" style="234" customWidth="1"/>
    <col min="10239" max="10239" width="16.5703125" style="234" customWidth="1"/>
    <col min="10240" max="10241" width="3.42578125" style="234" customWidth="1"/>
    <col min="10242" max="10242" width="11.42578125" style="234" customWidth="1"/>
    <col min="10243" max="10243" width="21.42578125" style="234" customWidth="1"/>
    <col min="10244" max="10484" width="11.42578125" style="234" customWidth="1"/>
    <col min="10485" max="10486" width="2.7109375" style="234" customWidth="1"/>
    <col min="10487" max="10490" width="14.5703125" style="234"/>
    <col min="10491" max="10491" width="2.7109375" style="234" customWidth="1"/>
    <col min="10492" max="10492" width="48.28515625" style="234" customWidth="1"/>
    <col min="10493" max="10493" width="34.28515625" style="234" customWidth="1"/>
    <col min="10494" max="10494" width="24.28515625" style="234" customWidth="1"/>
    <col min="10495" max="10495" width="16.5703125" style="234" customWidth="1"/>
    <col min="10496" max="10497" width="3.42578125" style="234" customWidth="1"/>
    <col min="10498" max="10498" width="11.42578125" style="234" customWidth="1"/>
    <col min="10499" max="10499" width="21.42578125" style="234" customWidth="1"/>
    <col min="10500" max="10740" width="11.42578125" style="234" customWidth="1"/>
    <col min="10741" max="10742" width="2.7109375" style="234" customWidth="1"/>
    <col min="10743" max="10746" width="14.5703125" style="234"/>
    <col min="10747" max="10747" width="2.7109375" style="234" customWidth="1"/>
    <col min="10748" max="10748" width="48.28515625" style="234" customWidth="1"/>
    <col min="10749" max="10749" width="34.28515625" style="234" customWidth="1"/>
    <col min="10750" max="10750" width="24.28515625" style="234" customWidth="1"/>
    <col min="10751" max="10751" width="16.5703125" style="234" customWidth="1"/>
    <col min="10752" max="10753" width="3.42578125" style="234" customWidth="1"/>
    <col min="10754" max="10754" width="11.42578125" style="234" customWidth="1"/>
    <col min="10755" max="10755" width="21.42578125" style="234" customWidth="1"/>
    <col min="10756" max="10996" width="11.42578125" style="234" customWidth="1"/>
    <col min="10997" max="10998" width="2.7109375" style="234" customWidth="1"/>
    <col min="10999" max="11002" width="14.5703125" style="234"/>
    <col min="11003" max="11003" width="2.7109375" style="234" customWidth="1"/>
    <col min="11004" max="11004" width="48.28515625" style="234" customWidth="1"/>
    <col min="11005" max="11005" width="34.28515625" style="234" customWidth="1"/>
    <col min="11006" max="11006" width="24.28515625" style="234" customWidth="1"/>
    <col min="11007" max="11007" width="16.5703125" style="234" customWidth="1"/>
    <col min="11008" max="11009" width="3.42578125" style="234" customWidth="1"/>
    <col min="11010" max="11010" width="11.42578125" style="234" customWidth="1"/>
    <col min="11011" max="11011" width="21.42578125" style="234" customWidth="1"/>
    <col min="11012" max="11252" width="11.42578125" style="234" customWidth="1"/>
    <col min="11253" max="11254" width="2.7109375" style="234" customWidth="1"/>
    <col min="11255" max="11258" width="14.5703125" style="234"/>
    <col min="11259" max="11259" width="2.7109375" style="234" customWidth="1"/>
    <col min="11260" max="11260" width="48.28515625" style="234" customWidth="1"/>
    <col min="11261" max="11261" width="34.28515625" style="234" customWidth="1"/>
    <col min="11262" max="11262" width="24.28515625" style="234" customWidth="1"/>
    <col min="11263" max="11263" width="16.5703125" style="234" customWidth="1"/>
    <col min="11264" max="11265" width="3.42578125" style="234" customWidth="1"/>
    <col min="11266" max="11266" width="11.42578125" style="234" customWidth="1"/>
    <col min="11267" max="11267" width="21.42578125" style="234" customWidth="1"/>
    <col min="11268" max="11508" width="11.42578125" style="234" customWidth="1"/>
    <col min="11509" max="11510" width="2.7109375" style="234" customWidth="1"/>
    <col min="11511" max="11514" width="14.5703125" style="234"/>
    <col min="11515" max="11515" width="2.7109375" style="234" customWidth="1"/>
    <col min="11516" max="11516" width="48.28515625" style="234" customWidth="1"/>
    <col min="11517" max="11517" width="34.28515625" style="234" customWidth="1"/>
    <col min="11518" max="11518" width="24.28515625" style="234" customWidth="1"/>
    <col min="11519" max="11519" width="16.5703125" style="234" customWidth="1"/>
    <col min="11520" max="11521" width="3.42578125" style="234" customWidth="1"/>
    <col min="11522" max="11522" width="11.42578125" style="234" customWidth="1"/>
    <col min="11523" max="11523" width="21.42578125" style="234" customWidth="1"/>
    <col min="11524" max="11764" width="11.42578125" style="234" customWidth="1"/>
    <col min="11765" max="11766" width="2.7109375" style="234" customWidth="1"/>
    <col min="11767" max="11770" width="14.5703125" style="234"/>
    <col min="11771" max="11771" width="2.7109375" style="234" customWidth="1"/>
    <col min="11772" max="11772" width="48.28515625" style="234" customWidth="1"/>
    <col min="11773" max="11773" width="34.28515625" style="234" customWidth="1"/>
    <col min="11774" max="11774" width="24.28515625" style="234" customWidth="1"/>
    <col min="11775" max="11775" width="16.5703125" style="234" customWidth="1"/>
    <col min="11776" max="11777" width="3.42578125" style="234" customWidth="1"/>
    <col min="11778" max="11778" width="11.42578125" style="234" customWidth="1"/>
    <col min="11779" max="11779" width="21.42578125" style="234" customWidth="1"/>
    <col min="11780" max="12020" width="11.42578125" style="234" customWidth="1"/>
    <col min="12021" max="12022" width="2.7109375" style="234" customWidth="1"/>
    <col min="12023" max="12026" width="14.5703125" style="234"/>
    <col min="12027" max="12027" width="2.7109375" style="234" customWidth="1"/>
    <col min="12028" max="12028" width="48.28515625" style="234" customWidth="1"/>
    <col min="12029" max="12029" width="34.28515625" style="234" customWidth="1"/>
    <col min="12030" max="12030" width="24.28515625" style="234" customWidth="1"/>
    <col min="12031" max="12031" width="16.5703125" style="234" customWidth="1"/>
    <col min="12032" max="12033" width="3.42578125" style="234" customWidth="1"/>
    <col min="12034" max="12034" width="11.42578125" style="234" customWidth="1"/>
    <col min="12035" max="12035" width="21.42578125" style="234" customWidth="1"/>
    <col min="12036" max="12276" width="11.42578125" style="234" customWidth="1"/>
    <col min="12277" max="12278" width="2.7109375" style="234" customWidth="1"/>
    <col min="12279" max="12282" width="14.5703125" style="234"/>
    <col min="12283" max="12283" width="2.7109375" style="234" customWidth="1"/>
    <col min="12284" max="12284" width="48.28515625" style="234" customWidth="1"/>
    <col min="12285" max="12285" width="34.28515625" style="234" customWidth="1"/>
    <col min="12286" max="12286" width="24.28515625" style="234" customWidth="1"/>
    <col min="12287" max="12287" width="16.5703125" style="234" customWidth="1"/>
    <col min="12288" max="12289" width="3.42578125" style="234" customWidth="1"/>
    <col min="12290" max="12290" width="11.42578125" style="234" customWidth="1"/>
    <col min="12291" max="12291" width="21.42578125" style="234" customWidth="1"/>
    <col min="12292" max="12532" width="11.42578125" style="234" customWidth="1"/>
    <col min="12533" max="12534" width="2.7109375" style="234" customWidth="1"/>
    <col min="12535" max="12538" width="14.5703125" style="234"/>
    <col min="12539" max="12539" width="2.7109375" style="234" customWidth="1"/>
    <col min="12540" max="12540" width="48.28515625" style="234" customWidth="1"/>
    <col min="12541" max="12541" width="34.28515625" style="234" customWidth="1"/>
    <col min="12542" max="12542" width="24.28515625" style="234" customWidth="1"/>
    <col min="12543" max="12543" width="16.5703125" style="234" customWidth="1"/>
    <col min="12544" max="12545" width="3.42578125" style="234" customWidth="1"/>
    <col min="12546" max="12546" width="11.42578125" style="234" customWidth="1"/>
    <col min="12547" max="12547" width="21.42578125" style="234" customWidth="1"/>
    <col min="12548" max="12788" width="11.42578125" style="234" customWidth="1"/>
    <col min="12789" max="12790" width="2.7109375" style="234" customWidth="1"/>
    <col min="12791" max="12794" width="14.5703125" style="234"/>
    <col min="12795" max="12795" width="2.7109375" style="234" customWidth="1"/>
    <col min="12796" max="12796" width="48.28515625" style="234" customWidth="1"/>
    <col min="12797" max="12797" width="34.28515625" style="234" customWidth="1"/>
    <col min="12798" max="12798" width="24.28515625" style="234" customWidth="1"/>
    <col min="12799" max="12799" width="16.5703125" style="234" customWidth="1"/>
    <col min="12800" max="12801" width="3.42578125" style="234" customWidth="1"/>
    <col min="12802" max="12802" width="11.42578125" style="234" customWidth="1"/>
    <col min="12803" max="12803" width="21.42578125" style="234" customWidth="1"/>
    <col min="12804" max="13044" width="11.42578125" style="234" customWidth="1"/>
    <col min="13045" max="13046" width="2.7109375" style="234" customWidth="1"/>
    <col min="13047" max="13050" width="14.5703125" style="234"/>
    <col min="13051" max="13051" width="2.7109375" style="234" customWidth="1"/>
    <col min="13052" max="13052" width="48.28515625" style="234" customWidth="1"/>
    <col min="13053" max="13053" width="34.28515625" style="234" customWidth="1"/>
    <col min="13054" max="13054" width="24.28515625" style="234" customWidth="1"/>
    <col min="13055" max="13055" width="16.5703125" style="234" customWidth="1"/>
    <col min="13056" max="13057" width="3.42578125" style="234" customWidth="1"/>
    <col min="13058" max="13058" width="11.42578125" style="234" customWidth="1"/>
    <col min="13059" max="13059" width="21.42578125" style="234" customWidth="1"/>
    <col min="13060" max="13300" width="11.42578125" style="234" customWidth="1"/>
    <col min="13301" max="13302" width="2.7109375" style="234" customWidth="1"/>
    <col min="13303" max="13306" width="14.5703125" style="234"/>
    <col min="13307" max="13307" width="2.7109375" style="234" customWidth="1"/>
    <col min="13308" max="13308" width="48.28515625" style="234" customWidth="1"/>
    <col min="13309" max="13309" width="34.28515625" style="234" customWidth="1"/>
    <col min="13310" max="13310" width="24.28515625" style="234" customWidth="1"/>
    <col min="13311" max="13311" width="16.5703125" style="234" customWidth="1"/>
    <col min="13312" max="13313" width="3.42578125" style="234" customWidth="1"/>
    <col min="13314" max="13314" width="11.42578125" style="234" customWidth="1"/>
    <col min="13315" max="13315" width="21.42578125" style="234" customWidth="1"/>
    <col min="13316" max="13556" width="11.42578125" style="234" customWidth="1"/>
    <col min="13557" max="13558" width="2.7109375" style="234" customWidth="1"/>
    <col min="13559" max="13562" width="14.5703125" style="234"/>
    <col min="13563" max="13563" width="2.7109375" style="234" customWidth="1"/>
    <col min="13564" max="13564" width="48.28515625" style="234" customWidth="1"/>
    <col min="13565" max="13565" width="34.28515625" style="234" customWidth="1"/>
    <col min="13566" max="13566" width="24.28515625" style="234" customWidth="1"/>
    <col min="13567" max="13567" width="16.5703125" style="234" customWidth="1"/>
    <col min="13568" max="13569" width="3.42578125" style="234" customWidth="1"/>
    <col min="13570" max="13570" width="11.42578125" style="234" customWidth="1"/>
    <col min="13571" max="13571" width="21.42578125" style="234" customWidth="1"/>
    <col min="13572" max="13812" width="11.42578125" style="234" customWidth="1"/>
    <col min="13813" max="13814" width="2.7109375" style="234" customWidth="1"/>
    <col min="13815" max="13818" width="14.5703125" style="234"/>
    <col min="13819" max="13819" width="2.7109375" style="234" customWidth="1"/>
    <col min="13820" max="13820" width="48.28515625" style="234" customWidth="1"/>
    <col min="13821" max="13821" width="34.28515625" style="234" customWidth="1"/>
    <col min="13822" max="13822" width="24.28515625" style="234" customWidth="1"/>
    <col min="13823" max="13823" width="16.5703125" style="234" customWidth="1"/>
    <col min="13824" max="13825" width="3.42578125" style="234" customWidth="1"/>
    <col min="13826" max="13826" width="11.42578125" style="234" customWidth="1"/>
    <col min="13827" max="13827" width="21.42578125" style="234" customWidth="1"/>
    <col min="13828" max="14068" width="11.42578125" style="234" customWidth="1"/>
    <col min="14069" max="14070" width="2.7109375" style="234" customWidth="1"/>
    <col min="14071" max="14074" width="14.5703125" style="234"/>
    <col min="14075" max="14075" width="2.7109375" style="234" customWidth="1"/>
    <col min="14076" max="14076" width="48.28515625" style="234" customWidth="1"/>
    <col min="14077" max="14077" width="34.28515625" style="234" customWidth="1"/>
    <col min="14078" max="14078" width="24.28515625" style="234" customWidth="1"/>
    <col min="14079" max="14079" width="16.5703125" style="234" customWidth="1"/>
    <col min="14080" max="14081" width="3.42578125" style="234" customWidth="1"/>
    <col min="14082" max="14082" width="11.42578125" style="234" customWidth="1"/>
    <col min="14083" max="14083" width="21.42578125" style="234" customWidth="1"/>
    <col min="14084" max="14324" width="11.42578125" style="234" customWidth="1"/>
    <col min="14325" max="14326" width="2.7109375" style="234" customWidth="1"/>
    <col min="14327" max="14330" width="14.5703125" style="234"/>
    <col min="14331" max="14331" width="2.7109375" style="234" customWidth="1"/>
    <col min="14332" max="14332" width="48.28515625" style="234" customWidth="1"/>
    <col min="14333" max="14333" width="34.28515625" style="234" customWidth="1"/>
    <col min="14334" max="14334" width="24.28515625" style="234" customWidth="1"/>
    <col min="14335" max="14335" width="16.5703125" style="234" customWidth="1"/>
    <col min="14336" max="14337" width="3.42578125" style="234" customWidth="1"/>
    <col min="14338" max="14338" width="11.42578125" style="234" customWidth="1"/>
    <col min="14339" max="14339" width="21.42578125" style="234" customWidth="1"/>
    <col min="14340" max="14580" width="11.42578125" style="234" customWidth="1"/>
    <col min="14581" max="14582" width="2.7109375" style="234" customWidth="1"/>
    <col min="14583" max="14586" width="14.5703125" style="234"/>
    <col min="14587" max="14587" width="2.7109375" style="234" customWidth="1"/>
    <col min="14588" max="14588" width="48.28515625" style="234" customWidth="1"/>
    <col min="14589" max="14589" width="34.28515625" style="234" customWidth="1"/>
    <col min="14590" max="14590" width="24.28515625" style="234" customWidth="1"/>
    <col min="14591" max="14591" width="16.5703125" style="234" customWidth="1"/>
    <col min="14592" max="14593" width="3.42578125" style="234" customWidth="1"/>
    <col min="14594" max="14594" width="11.42578125" style="234" customWidth="1"/>
    <col min="14595" max="14595" width="21.42578125" style="234" customWidth="1"/>
    <col min="14596" max="14836" width="11.42578125" style="234" customWidth="1"/>
    <col min="14837" max="14838" width="2.7109375" style="234" customWidth="1"/>
    <col min="14839" max="14842" width="14.5703125" style="234"/>
    <col min="14843" max="14843" width="2.7109375" style="234" customWidth="1"/>
    <col min="14844" max="14844" width="48.28515625" style="234" customWidth="1"/>
    <col min="14845" max="14845" width="34.28515625" style="234" customWidth="1"/>
    <col min="14846" max="14846" width="24.28515625" style="234" customWidth="1"/>
    <col min="14847" max="14847" width="16.5703125" style="234" customWidth="1"/>
    <col min="14848" max="14849" width="3.42578125" style="234" customWidth="1"/>
    <col min="14850" max="14850" width="11.42578125" style="234" customWidth="1"/>
    <col min="14851" max="14851" width="21.42578125" style="234" customWidth="1"/>
    <col min="14852" max="15092" width="11.42578125" style="234" customWidth="1"/>
    <col min="15093" max="15094" width="2.7109375" style="234" customWidth="1"/>
    <col min="15095" max="15098" width="14.5703125" style="234"/>
    <col min="15099" max="15099" width="2.7109375" style="234" customWidth="1"/>
    <col min="15100" max="15100" width="48.28515625" style="234" customWidth="1"/>
    <col min="15101" max="15101" width="34.28515625" style="234" customWidth="1"/>
    <col min="15102" max="15102" width="24.28515625" style="234" customWidth="1"/>
    <col min="15103" max="15103" width="16.5703125" style="234" customWidth="1"/>
    <col min="15104" max="15105" width="3.42578125" style="234" customWidth="1"/>
    <col min="15106" max="15106" width="11.42578125" style="234" customWidth="1"/>
    <col min="15107" max="15107" width="21.42578125" style="234" customWidth="1"/>
    <col min="15108" max="15348" width="11.42578125" style="234" customWidth="1"/>
    <col min="15349" max="15350" width="2.7109375" style="234" customWidth="1"/>
    <col min="15351" max="15354" width="14.5703125" style="234"/>
    <col min="15355" max="15355" width="2.7109375" style="234" customWidth="1"/>
    <col min="15356" max="15356" width="48.28515625" style="234" customWidth="1"/>
    <col min="15357" max="15357" width="34.28515625" style="234" customWidth="1"/>
    <col min="15358" max="15358" width="24.28515625" style="234" customWidth="1"/>
    <col min="15359" max="15359" width="16.5703125" style="234" customWidth="1"/>
    <col min="15360" max="15361" width="3.42578125" style="234" customWidth="1"/>
    <col min="15362" max="15362" width="11.42578125" style="234" customWidth="1"/>
    <col min="15363" max="15363" width="21.42578125" style="234" customWidth="1"/>
    <col min="15364" max="15604" width="11.42578125" style="234" customWidth="1"/>
    <col min="15605" max="15606" width="2.7109375" style="234" customWidth="1"/>
    <col min="15607" max="15610" width="14.5703125" style="234"/>
    <col min="15611" max="15611" width="2.7109375" style="234" customWidth="1"/>
    <col min="15612" max="15612" width="48.28515625" style="234" customWidth="1"/>
    <col min="15613" max="15613" width="34.28515625" style="234" customWidth="1"/>
    <col min="15614" max="15614" width="24.28515625" style="234" customWidth="1"/>
    <col min="15615" max="15615" width="16.5703125" style="234" customWidth="1"/>
    <col min="15616" max="15617" width="3.42578125" style="234" customWidth="1"/>
    <col min="15618" max="15618" width="11.42578125" style="234" customWidth="1"/>
    <col min="15619" max="15619" width="21.42578125" style="234" customWidth="1"/>
    <col min="15620" max="15860" width="11.42578125" style="234" customWidth="1"/>
    <col min="15861" max="15862" width="2.7109375" style="234" customWidth="1"/>
    <col min="15863" max="15866" width="14.5703125" style="234"/>
    <col min="15867" max="15867" width="2.7109375" style="234" customWidth="1"/>
    <col min="15868" max="15868" width="48.28515625" style="234" customWidth="1"/>
    <col min="15869" max="15869" width="34.28515625" style="234" customWidth="1"/>
    <col min="15870" max="15870" width="24.28515625" style="234" customWidth="1"/>
    <col min="15871" max="15871" width="16.5703125" style="234" customWidth="1"/>
    <col min="15872" max="15873" width="3.42578125" style="234" customWidth="1"/>
    <col min="15874" max="15874" width="11.42578125" style="234" customWidth="1"/>
    <col min="15875" max="15875" width="21.42578125" style="234" customWidth="1"/>
    <col min="15876" max="16116" width="11.42578125" style="234" customWidth="1"/>
    <col min="16117" max="16118" width="2.7109375" style="234" customWidth="1"/>
    <col min="16119" max="16122" width="14.5703125" style="234"/>
    <col min="16123" max="16123" width="2.7109375" style="234" customWidth="1"/>
    <col min="16124" max="16124" width="48.28515625" style="234" customWidth="1"/>
    <col min="16125" max="16125" width="34.28515625" style="234" customWidth="1"/>
    <col min="16126" max="16126" width="24.28515625" style="234" customWidth="1"/>
    <col min="16127" max="16127" width="16.5703125" style="234" customWidth="1"/>
    <col min="16128" max="16129" width="3.42578125" style="234" customWidth="1"/>
    <col min="16130" max="16130" width="11.42578125" style="234" customWidth="1"/>
    <col min="16131" max="16131" width="21.42578125" style="234" customWidth="1"/>
    <col min="16132" max="16372" width="11.42578125" style="234" customWidth="1"/>
    <col min="16373" max="16374" width="2.7109375" style="234" customWidth="1"/>
    <col min="16375" max="16384" width="14.5703125" style="234"/>
  </cols>
  <sheetData>
    <row r="1" spans="1:8" ht="15.75" thickBot="1">
      <c r="A1" s="233"/>
    </row>
    <row r="2" spans="1:8" ht="22.5" customHeight="1" thickBot="1">
      <c r="A2" s="235"/>
      <c r="B2" s="356" t="s">
        <v>555</v>
      </c>
      <c r="C2" s="357"/>
      <c r="D2" s="357"/>
      <c r="E2" s="358"/>
      <c r="F2" s="241"/>
    </row>
    <row r="3" spans="1:8">
      <c r="A3" s="235"/>
      <c r="B3" s="359" t="s">
        <v>392</v>
      </c>
      <c r="C3" s="360"/>
      <c r="D3" s="241"/>
      <c r="E3" s="361"/>
      <c r="F3" s="241"/>
    </row>
    <row r="4" spans="1:8" ht="15.75" thickBot="1">
      <c r="A4" s="235"/>
      <c r="B4" s="359"/>
      <c r="C4" s="360"/>
      <c r="D4" s="241"/>
      <c r="E4" s="361"/>
      <c r="F4" s="241"/>
    </row>
    <row r="5" spans="1:8" ht="19.5" thickBot="1">
      <c r="A5" s="235"/>
      <c r="B5" s="362" t="s">
        <v>556</v>
      </c>
      <c r="C5" s="363"/>
      <c r="D5" s="241"/>
      <c r="E5" s="364">
        <f>+'balance 2023 '!I71</f>
        <v>248415280.23869598</v>
      </c>
      <c r="F5" s="241"/>
    </row>
    <row r="6" spans="1:8" ht="16.5" thickBot="1">
      <c r="A6" s="235"/>
      <c r="B6" s="365" t="s">
        <v>394</v>
      </c>
      <c r="C6" s="366"/>
      <c r="D6" s="367"/>
      <c r="E6" s="364">
        <f>SUM(D7:D39)</f>
        <v>117938938.24869901</v>
      </c>
      <c r="F6" s="241"/>
      <c r="H6" s="240"/>
    </row>
    <row r="7" spans="1:8">
      <c r="A7" s="235"/>
      <c r="B7" s="368" t="s">
        <v>395</v>
      </c>
      <c r="C7" s="369" t="s">
        <v>396</v>
      </c>
      <c r="D7" s="370">
        <f>+'activo no corriente 2023'!E148+'activo no corriente 2023'!E108+'activo no corriente 2023'!E79+'activo no corriente 2023'!E37</f>
        <v>22518000</v>
      </c>
      <c r="E7" s="371"/>
      <c r="F7" s="241"/>
      <c r="H7" s="240"/>
    </row>
    <row r="8" spans="1:8" hidden="1">
      <c r="A8" s="235"/>
      <c r="B8" s="372" t="s">
        <v>397</v>
      </c>
      <c r="C8" s="369" t="s">
        <v>396</v>
      </c>
      <c r="D8" s="373"/>
      <c r="E8" s="371"/>
      <c r="F8" s="241"/>
    </row>
    <row r="9" spans="1:8" hidden="1">
      <c r="A9" s="235"/>
      <c r="B9" s="372" t="s">
        <v>539</v>
      </c>
      <c r="C9" s="369" t="s">
        <v>396</v>
      </c>
      <c r="D9" s="373"/>
      <c r="E9" s="371"/>
      <c r="F9" s="241"/>
    </row>
    <row r="10" spans="1:8" hidden="1">
      <c r="A10" s="235"/>
      <c r="B10" s="372" t="s">
        <v>398</v>
      </c>
      <c r="C10" s="369" t="s">
        <v>396</v>
      </c>
      <c r="D10" s="374"/>
      <c r="E10" s="371"/>
      <c r="F10" s="241"/>
    </row>
    <row r="11" spans="1:8" hidden="1">
      <c r="A11" s="235"/>
      <c r="B11" s="375" t="s">
        <v>536</v>
      </c>
      <c r="C11" s="369" t="s">
        <v>537</v>
      </c>
      <c r="D11" s="373"/>
      <c r="E11" s="371"/>
      <c r="F11" s="241"/>
    </row>
    <row r="12" spans="1:8" hidden="1">
      <c r="A12" s="235"/>
      <c r="B12" s="375" t="s">
        <v>530</v>
      </c>
      <c r="C12" s="369" t="s">
        <v>528</v>
      </c>
      <c r="D12" s="373"/>
      <c r="E12" s="371"/>
      <c r="F12" s="241"/>
    </row>
    <row r="13" spans="1:8" hidden="1">
      <c r="A13" s="235"/>
      <c r="B13" s="375"/>
      <c r="C13" s="369" t="s">
        <v>400</v>
      </c>
      <c r="D13" s="373"/>
      <c r="E13" s="371"/>
      <c r="F13" s="241"/>
    </row>
    <row r="14" spans="1:8" hidden="1">
      <c r="A14" s="235"/>
      <c r="B14" s="375" t="s">
        <v>401</v>
      </c>
      <c r="C14" s="369" t="s">
        <v>314</v>
      </c>
      <c r="D14" s="373"/>
      <c r="E14" s="371"/>
      <c r="F14" s="241"/>
    </row>
    <row r="15" spans="1:8" hidden="1">
      <c r="A15" s="235"/>
      <c r="B15" s="375" t="s">
        <v>402</v>
      </c>
      <c r="C15" s="369" t="s">
        <v>314</v>
      </c>
      <c r="D15" s="373"/>
      <c r="E15" s="371"/>
      <c r="F15" s="241"/>
    </row>
    <row r="16" spans="1:8" hidden="1">
      <c r="A16" s="235"/>
      <c r="B16" s="375" t="s">
        <v>403</v>
      </c>
      <c r="C16" s="369" t="s">
        <v>314</v>
      </c>
      <c r="D16" s="373"/>
      <c r="E16" s="371"/>
      <c r="F16" s="241"/>
    </row>
    <row r="17" spans="1:6" hidden="1">
      <c r="A17" s="235"/>
      <c r="B17" s="375" t="s">
        <v>404</v>
      </c>
      <c r="C17" s="369" t="s">
        <v>314</v>
      </c>
      <c r="D17" s="373"/>
      <c r="E17" s="371"/>
      <c r="F17" s="241"/>
    </row>
    <row r="18" spans="1:6" hidden="1">
      <c r="A18" s="235"/>
      <c r="B18" s="375" t="s">
        <v>405</v>
      </c>
      <c r="C18" s="369" t="s">
        <v>314</v>
      </c>
      <c r="D18" s="373"/>
      <c r="E18" s="371"/>
      <c r="F18" s="241"/>
    </row>
    <row r="19" spans="1:6">
      <c r="A19" s="235"/>
      <c r="B19" s="375" t="s">
        <v>406</v>
      </c>
      <c r="C19" s="369" t="s">
        <v>407</v>
      </c>
      <c r="D19" s="373">
        <f>+'balance 2023 '!I64</f>
        <v>6880952.3809523806</v>
      </c>
      <c r="E19" s="371"/>
      <c r="F19" s="241"/>
    </row>
    <row r="20" spans="1:6">
      <c r="A20" s="235"/>
      <c r="B20" s="375" t="s">
        <v>408</v>
      </c>
      <c r="C20" s="369" t="s">
        <v>407</v>
      </c>
      <c r="D20" s="373">
        <f>+'balance 2023 '!I65</f>
        <v>1666666.6666666665</v>
      </c>
      <c r="E20" s="371"/>
      <c r="F20" s="241"/>
    </row>
    <row r="21" spans="1:6">
      <c r="A21" s="235"/>
      <c r="B21" s="375" t="s">
        <v>409</v>
      </c>
      <c r="C21" s="369" t="s">
        <v>410</v>
      </c>
      <c r="D21" s="373">
        <f>+'balance 2023 '!I58</f>
        <v>29747500</v>
      </c>
      <c r="E21" s="371"/>
      <c r="F21" s="241"/>
    </row>
    <row r="22" spans="1:6">
      <c r="A22" s="235"/>
      <c r="B22" s="375" t="s">
        <v>540</v>
      </c>
      <c r="C22" s="369" t="s">
        <v>541</v>
      </c>
      <c r="D22" s="373">
        <f>+'balance 2023 '!C52</f>
        <v>2450000</v>
      </c>
      <c r="E22" s="371"/>
      <c r="F22" s="241"/>
    </row>
    <row r="23" spans="1:6">
      <c r="A23" s="235"/>
      <c r="B23" s="375" t="s">
        <v>411</v>
      </c>
      <c r="C23" s="369" t="s">
        <v>412</v>
      </c>
      <c r="D23" s="373">
        <f>+'balance 2023 '!D34</f>
        <v>1000000</v>
      </c>
      <c r="E23" s="371"/>
      <c r="F23" s="241"/>
    </row>
    <row r="24" spans="1:6" hidden="1">
      <c r="A24" s="235"/>
      <c r="B24" s="375" t="s">
        <v>413</v>
      </c>
      <c r="C24" s="369" t="s">
        <v>414</v>
      </c>
      <c r="D24" s="373"/>
      <c r="E24" s="371"/>
      <c r="F24" s="241"/>
    </row>
    <row r="25" spans="1:6">
      <c r="A25" s="235"/>
      <c r="B25" s="375" t="s">
        <v>415</v>
      </c>
      <c r="C25" s="369" t="s">
        <v>416</v>
      </c>
      <c r="D25" s="373">
        <f>+'balance 2023 '!C63</f>
        <v>11732212.442495923</v>
      </c>
      <c r="E25" s="371"/>
      <c r="F25" s="241"/>
    </row>
    <row r="26" spans="1:6" hidden="1">
      <c r="A26" s="235"/>
      <c r="B26" s="375" t="s">
        <v>417</v>
      </c>
      <c r="C26" s="369" t="s">
        <v>416</v>
      </c>
      <c r="D26" s="373"/>
      <c r="E26" s="371"/>
      <c r="F26" s="241"/>
    </row>
    <row r="27" spans="1:6" ht="15.75" thickBot="1">
      <c r="A27" s="235"/>
      <c r="B27" s="375" t="s">
        <v>557</v>
      </c>
      <c r="C27" s="369" t="s">
        <v>416</v>
      </c>
      <c r="D27" s="374">
        <f>+'balance 2023 '!I54</f>
        <v>41943606.758584037</v>
      </c>
      <c r="E27" s="371"/>
      <c r="F27" s="241"/>
    </row>
    <row r="28" spans="1:6" hidden="1">
      <c r="A28" s="235"/>
      <c r="B28" s="375" t="s">
        <v>529</v>
      </c>
      <c r="C28" s="369" t="s">
        <v>416</v>
      </c>
      <c r="D28" s="374"/>
      <c r="E28" s="371"/>
      <c r="F28" s="241"/>
    </row>
    <row r="29" spans="1:6" hidden="1">
      <c r="A29" s="235"/>
      <c r="B29" s="375" t="s">
        <v>418</v>
      </c>
      <c r="C29" s="369" t="s">
        <v>416</v>
      </c>
      <c r="D29" s="373"/>
      <c r="E29" s="371"/>
      <c r="F29" s="241"/>
    </row>
    <row r="30" spans="1:6" hidden="1">
      <c r="A30" s="235"/>
      <c r="B30" s="375"/>
      <c r="C30" s="369" t="s">
        <v>416</v>
      </c>
      <c r="D30" s="373"/>
      <c r="E30" s="371"/>
      <c r="F30" s="241"/>
    </row>
    <row r="31" spans="1:6" hidden="1">
      <c r="A31" s="235"/>
      <c r="B31" s="375"/>
      <c r="C31" s="369" t="s">
        <v>416</v>
      </c>
      <c r="D31" s="373"/>
      <c r="E31" s="371"/>
      <c r="F31" s="241"/>
    </row>
    <row r="32" spans="1:6" hidden="1">
      <c r="A32" s="235"/>
      <c r="B32" s="375" t="s">
        <v>419</v>
      </c>
      <c r="C32" s="369" t="s">
        <v>416</v>
      </c>
      <c r="D32" s="373"/>
      <c r="E32" s="371"/>
      <c r="F32" s="241"/>
    </row>
    <row r="33" spans="1:6" hidden="1">
      <c r="A33" s="235"/>
      <c r="B33" s="375"/>
      <c r="C33" s="369" t="s">
        <v>416</v>
      </c>
      <c r="D33" s="373"/>
      <c r="E33" s="371"/>
      <c r="F33" s="241"/>
    </row>
    <row r="34" spans="1:6" hidden="1">
      <c r="A34" s="235"/>
      <c r="B34" s="375"/>
      <c r="C34" s="369" t="s">
        <v>416</v>
      </c>
      <c r="D34" s="373"/>
      <c r="E34" s="371"/>
      <c r="F34" s="241"/>
    </row>
    <row r="35" spans="1:6" hidden="1">
      <c r="A35" s="235"/>
      <c r="B35" s="375"/>
      <c r="C35" s="369" t="s">
        <v>420</v>
      </c>
      <c r="D35" s="373"/>
      <c r="E35" s="371"/>
      <c r="F35" s="241"/>
    </row>
    <row r="36" spans="1:6" hidden="1">
      <c r="A36" s="235"/>
      <c r="B36" s="372"/>
      <c r="C36" s="369" t="s">
        <v>421</v>
      </c>
      <c r="D36" s="373"/>
      <c r="E36" s="371"/>
      <c r="F36" s="241"/>
    </row>
    <row r="37" spans="1:6" hidden="1">
      <c r="A37" s="235"/>
      <c r="B37" s="372"/>
      <c r="C37" s="369" t="s">
        <v>422</v>
      </c>
      <c r="D37" s="373"/>
      <c r="E37" s="371"/>
      <c r="F37" s="241"/>
    </row>
    <row r="38" spans="1:6" hidden="1">
      <c r="A38" s="235"/>
      <c r="B38" s="372"/>
      <c r="C38" s="369" t="s">
        <v>423</v>
      </c>
      <c r="D38" s="373"/>
      <c r="E38" s="371"/>
      <c r="F38" s="241"/>
    </row>
    <row r="39" spans="1:6" ht="15.75" hidden="1" thickBot="1">
      <c r="A39" s="235"/>
      <c r="B39" s="372"/>
      <c r="C39" s="376" t="s">
        <v>424</v>
      </c>
      <c r="D39" s="373"/>
      <c r="E39" s="371"/>
      <c r="F39" s="241"/>
    </row>
    <row r="40" spans="1:6" ht="16.5" thickBot="1">
      <c r="A40" s="235"/>
      <c r="B40" s="365" t="s">
        <v>425</v>
      </c>
      <c r="C40" s="366"/>
      <c r="D40" s="377"/>
      <c r="E40" s="364">
        <f>-SUM(D41:D63)</f>
        <v>-100912398.15384616</v>
      </c>
      <c r="F40" s="241"/>
    </row>
    <row r="41" spans="1:6">
      <c r="A41" s="235"/>
      <c r="B41" s="547" t="s">
        <v>426</v>
      </c>
      <c r="C41" s="548" t="s">
        <v>427</v>
      </c>
      <c r="D41" s="378">
        <f>+'R14 AT2023'!R26*4.8%</f>
        <v>30724475.07692308</v>
      </c>
      <c r="E41" s="371"/>
      <c r="F41" s="241"/>
    </row>
    <row r="42" spans="1:6">
      <c r="A42" s="235"/>
      <c r="B42" s="379" t="s">
        <v>428</v>
      </c>
      <c r="C42" s="380" t="s">
        <v>427</v>
      </c>
      <c r="D42" s="381">
        <f>+'activo no corriente 2023'!F37+'activo no corriente 2023'!F79+'activo no corriente 2023'!F148</f>
        <v>1541076.9230769232</v>
      </c>
      <c r="E42" s="371"/>
      <c r="F42" s="241"/>
    </row>
    <row r="43" spans="1:6" hidden="1">
      <c r="A43" s="235"/>
      <c r="B43" s="379" t="s">
        <v>429</v>
      </c>
      <c r="C43" s="380" t="s">
        <v>427</v>
      </c>
      <c r="D43" s="381"/>
      <c r="E43" s="371"/>
      <c r="F43" s="241"/>
    </row>
    <row r="44" spans="1:6" hidden="1">
      <c r="A44" s="235"/>
      <c r="B44" s="379" t="s">
        <v>538</v>
      </c>
      <c r="C44" s="380" t="s">
        <v>310</v>
      </c>
      <c r="D44" s="381"/>
      <c r="E44" s="371"/>
      <c r="F44" s="241"/>
    </row>
    <row r="45" spans="1:6" hidden="1">
      <c r="A45" s="235"/>
      <c r="B45" s="379"/>
      <c r="C45" s="380" t="s">
        <v>430</v>
      </c>
      <c r="D45" s="381"/>
      <c r="E45" s="382"/>
      <c r="F45" s="241"/>
    </row>
    <row r="46" spans="1:6" hidden="1">
      <c r="A46" s="235"/>
      <c r="B46" s="383" t="s">
        <v>431</v>
      </c>
      <c r="C46" s="380" t="s">
        <v>432</v>
      </c>
      <c r="D46" s="381"/>
      <c r="E46" s="382"/>
      <c r="F46" s="241"/>
    </row>
    <row r="47" spans="1:6" hidden="1">
      <c r="A47" s="235"/>
      <c r="B47" s="379"/>
      <c r="C47" s="380" t="s">
        <v>433</v>
      </c>
      <c r="D47" s="381"/>
      <c r="E47" s="382"/>
      <c r="F47" s="241"/>
    </row>
    <row r="48" spans="1:6">
      <c r="A48" s="235"/>
      <c r="B48" s="549" t="s">
        <v>434</v>
      </c>
      <c r="C48" s="380" t="s">
        <v>435</v>
      </c>
      <c r="D48" s="384">
        <f>+'activo no corriente 2023'!I153+'activo no corriente 2023'!I84+'activo no corriente 2023'!I42+'activo no corriente 2023'!I5</f>
        <v>33646846.153846152</v>
      </c>
      <c r="E48" s="382"/>
      <c r="F48" s="241"/>
    </row>
    <row r="49" spans="1:6" hidden="1">
      <c r="A49" s="235"/>
      <c r="B49" s="549"/>
      <c r="C49" s="380" t="s">
        <v>436</v>
      </c>
      <c r="D49" s="381"/>
      <c r="E49" s="382"/>
      <c r="F49" s="241"/>
    </row>
    <row r="50" spans="1:6" hidden="1">
      <c r="A50" s="235"/>
      <c r="B50" s="549"/>
      <c r="C50" s="380" t="s">
        <v>437</v>
      </c>
      <c r="D50" s="381"/>
      <c r="E50" s="382"/>
      <c r="F50" s="241"/>
    </row>
    <row r="51" spans="1:6" hidden="1">
      <c r="A51" s="235"/>
      <c r="B51" s="550" t="s">
        <v>418</v>
      </c>
      <c r="C51" s="380" t="s">
        <v>438</v>
      </c>
      <c r="D51" s="384">
        <f>+D12</f>
        <v>0</v>
      </c>
      <c r="E51" s="382"/>
      <c r="F51" s="241"/>
    </row>
    <row r="52" spans="1:6" hidden="1">
      <c r="A52" s="235"/>
      <c r="B52" s="550" t="s">
        <v>399</v>
      </c>
      <c r="C52" s="380" t="s">
        <v>438</v>
      </c>
      <c r="D52" s="384"/>
      <c r="E52" s="382"/>
      <c r="F52" s="241"/>
    </row>
    <row r="53" spans="1:6" hidden="1">
      <c r="A53" s="235"/>
      <c r="B53" s="549"/>
      <c r="C53" s="380" t="s">
        <v>438</v>
      </c>
      <c r="D53" s="384">
        <f t="shared" ref="D53:D56" si="0">+D31</f>
        <v>0</v>
      </c>
      <c r="E53" s="382"/>
      <c r="F53" s="241"/>
    </row>
    <row r="54" spans="1:6" hidden="1">
      <c r="A54" s="235"/>
      <c r="B54" s="550" t="s">
        <v>419</v>
      </c>
      <c r="C54" s="380" t="s">
        <v>439</v>
      </c>
      <c r="D54" s="384">
        <f t="shared" si="0"/>
        <v>0</v>
      </c>
      <c r="E54" s="382"/>
      <c r="F54" s="241"/>
    </row>
    <row r="55" spans="1:6" hidden="1">
      <c r="A55" s="235"/>
      <c r="B55" s="549"/>
      <c r="C55" s="380" t="s">
        <v>439</v>
      </c>
      <c r="D55" s="384">
        <f t="shared" si="0"/>
        <v>0</v>
      </c>
      <c r="E55" s="382"/>
      <c r="F55" s="241"/>
    </row>
    <row r="56" spans="1:6" hidden="1">
      <c r="A56" s="235"/>
      <c r="B56" s="549"/>
      <c r="C56" s="380" t="s">
        <v>439</v>
      </c>
      <c r="D56" s="384">
        <f t="shared" si="0"/>
        <v>0</v>
      </c>
      <c r="E56" s="382"/>
      <c r="F56" s="241"/>
    </row>
    <row r="57" spans="1:6" ht="15.75" thickBot="1">
      <c r="A57" s="235"/>
      <c r="B57" s="379" t="s">
        <v>440</v>
      </c>
      <c r="C57" s="380" t="s">
        <v>441</v>
      </c>
      <c r="D57" s="381">
        <f>+'balance 2023 '!C26+'balance 2023 '!C63</f>
        <v>35000000</v>
      </c>
      <c r="E57" s="382"/>
      <c r="F57" s="241"/>
    </row>
    <row r="58" spans="1:6" hidden="1">
      <c r="A58" s="235"/>
      <c r="B58" s="379"/>
      <c r="C58" s="380" t="s">
        <v>442</v>
      </c>
      <c r="D58" s="381"/>
      <c r="E58" s="382"/>
      <c r="F58" s="241"/>
    </row>
    <row r="59" spans="1:6" hidden="1">
      <c r="A59" s="235"/>
      <c r="B59" s="383" t="s">
        <v>443</v>
      </c>
      <c r="C59" s="380" t="s">
        <v>444</v>
      </c>
      <c r="D59" s="381"/>
      <c r="E59" s="382"/>
      <c r="F59" s="241"/>
    </row>
    <row r="60" spans="1:6" hidden="1">
      <c r="A60" s="235"/>
      <c r="B60" s="379"/>
      <c r="C60" s="380" t="s">
        <v>445</v>
      </c>
      <c r="D60" s="381"/>
      <c r="E60" s="382"/>
      <c r="F60" s="241"/>
    </row>
    <row r="61" spans="1:6" hidden="1">
      <c r="A61" s="235"/>
      <c r="B61" s="379"/>
      <c r="C61" s="380" t="s">
        <v>446</v>
      </c>
      <c r="D61" s="381"/>
      <c r="E61" s="382"/>
      <c r="F61" s="241"/>
    </row>
    <row r="62" spans="1:6" hidden="1">
      <c r="A62" s="235"/>
      <c r="B62" s="385" t="s">
        <v>447</v>
      </c>
      <c r="C62" s="380" t="s">
        <v>448</v>
      </c>
      <c r="D62" s="381"/>
      <c r="E62" s="382"/>
      <c r="F62" s="241"/>
    </row>
    <row r="63" spans="1:6" ht="15.75" hidden="1" thickBot="1">
      <c r="A63" s="235"/>
      <c r="B63" s="386" t="s">
        <v>449</v>
      </c>
      <c r="C63" s="387" t="s">
        <v>450</v>
      </c>
      <c r="D63" s="381"/>
      <c r="E63" s="382"/>
      <c r="F63" s="241"/>
    </row>
    <row r="64" spans="1:6" ht="15.75" thickBot="1">
      <c r="A64" s="235"/>
      <c r="B64" s="388" t="s">
        <v>108</v>
      </c>
      <c r="C64" s="389"/>
      <c r="D64" s="390"/>
      <c r="E64" s="391">
        <f>+E5+E6+E40</f>
        <v>265441820.33354884</v>
      </c>
      <c r="F64" s="241"/>
    </row>
    <row r="65" spans="1:6" ht="16.5" thickBot="1">
      <c r="A65" s="235"/>
      <c r="B65" s="251" t="s">
        <v>326</v>
      </c>
      <c r="C65" s="252"/>
      <c r="D65" s="241"/>
      <c r="E65" s="391">
        <f>-D71</f>
        <v>-106545992.18820299</v>
      </c>
      <c r="F65" s="241"/>
    </row>
    <row r="66" spans="1:6" ht="15.75">
      <c r="A66" s="235"/>
      <c r="B66" s="253" t="s">
        <v>327</v>
      </c>
      <c r="C66" s="254"/>
      <c r="D66" s="241"/>
      <c r="E66" s="371"/>
      <c r="F66" s="241"/>
    </row>
    <row r="67" spans="1:6">
      <c r="A67" s="235"/>
      <c r="B67" s="255" t="s">
        <v>328</v>
      </c>
      <c r="C67" s="256"/>
      <c r="D67" s="257">
        <f>+E64</f>
        <v>265441820.33354884</v>
      </c>
      <c r="E67" s="371"/>
      <c r="F67" s="241"/>
    </row>
    <row r="68" spans="1:6">
      <c r="A68" s="235"/>
      <c r="B68" s="258" t="s">
        <v>443</v>
      </c>
      <c r="C68" s="259"/>
      <c r="D68" s="260">
        <f>+'Libro Diario 2023 '!D131</f>
        <v>52349835.95714286</v>
      </c>
      <c r="E68" s="371"/>
      <c r="F68" s="241"/>
    </row>
    <row r="69" spans="1:6">
      <c r="A69" s="235"/>
      <c r="B69" s="258" t="s">
        <v>329</v>
      </c>
      <c r="C69" s="259"/>
      <c r="D69" s="260">
        <f>+D17</f>
        <v>0</v>
      </c>
      <c r="E69" s="371"/>
      <c r="F69" s="241"/>
    </row>
    <row r="70" spans="1:6">
      <c r="A70" s="235"/>
      <c r="B70" s="255" t="s">
        <v>330</v>
      </c>
      <c r="C70" s="261"/>
      <c r="D70" s="257">
        <f>+D67-D68-D69</f>
        <v>213091984.37640598</v>
      </c>
      <c r="E70" s="371"/>
      <c r="F70" s="241"/>
    </row>
    <row r="71" spans="1:6" ht="15.75" thickBot="1">
      <c r="A71" s="235"/>
      <c r="B71" s="262">
        <v>0.5</v>
      </c>
      <c r="C71" s="263"/>
      <c r="D71" s="264">
        <f>+D70/2</f>
        <v>106545992.18820299</v>
      </c>
      <c r="E71" s="371"/>
      <c r="F71" s="241"/>
    </row>
    <row r="72" spans="1:6" ht="15.75" thickBot="1">
      <c r="A72" s="235"/>
      <c r="B72" s="388" t="s">
        <v>108</v>
      </c>
      <c r="C72" s="392"/>
      <c r="D72" s="390"/>
      <c r="E72" s="391">
        <f>+E64+E65</f>
        <v>158895828.14534587</v>
      </c>
      <c r="F72" s="241"/>
    </row>
    <row r="73" spans="1:6" ht="16.5" thickBot="1">
      <c r="A73" s="235"/>
      <c r="B73" s="393" t="s">
        <v>451</v>
      </c>
      <c r="C73" s="394"/>
      <c r="D73" s="395"/>
      <c r="E73" s="396">
        <f>+D75</f>
        <v>0</v>
      </c>
      <c r="F73" s="241"/>
    </row>
    <row r="74" spans="1:6" ht="15.75">
      <c r="A74" s="235"/>
      <c r="B74" s="397" t="s">
        <v>452</v>
      </c>
      <c r="C74" s="398"/>
      <c r="D74" s="241"/>
      <c r="E74" s="399"/>
      <c r="F74" s="241"/>
    </row>
    <row r="75" spans="1:6">
      <c r="A75" s="235"/>
      <c r="B75" s="255" t="s">
        <v>453</v>
      </c>
      <c r="C75" s="256"/>
      <c r="D75" s="260"/>
      <c r="E75" s="399"/>
      <c r="F75" s="241"/>
    </row>
    <row r="76" spans="1:6">
      <c r="A76" s="235"/>
      <c r="B76" s="400" t="s">
        <v>454</v>
      </c>
      <c r="C76" s="401"/>
      <c r="D76" s="257">
        <f>+E72</f>
        <v>158895828.14534587</v>
      </c>
      <c r="E76" s="399"/>
      <c r="F76" s="241"/>
    </row>
    <row r="77" spans="1:6">
      <c r="A77" s="235"/>
      <c r="B77" s="255" t="s">
        <v>455</v>
      </c>
      <c r="C77" s="402"/>
      <c r="D77" s="260"/>
      <c r="E77" s="399"/>
      <c r="F77" s="241"/>
    </row>
    <row r="78" spans="1:6" ht="16.5" thickBot="1">
      <c r="A78" s="235"/>
      <c r="B78" s="397"/>
      <c r="C78" s="398"/>
      <c r="D78" s="241"/>
      <c r="E78" s="399"/>
      <c r="F78" s="241"/>
    </row>
    <row r="79" spans="1:6" ht="15.75" thickBot="1">
      <c r="A79" s="235"/>
      <c r="B79" s="403" t="s">
        <v>108</v>
      </c>
      <c r="C79" s="404"/>
      <c r="D79" s="241"/>
      <c r="E79" s="391">
        <f>+E72-E73</f>
        <v>158895828.14534587</v>
      </c>
      <c r="F79" s="241"/>
    </row>
    <row r="80" spans="1:6" ht="16.5" thickBot="1">
      <c r="A80" s="235"/>
      <c r="B80" s="393" t="s">
        <v>456</v>
      </c>
      <c r="C80" s="394"/>
      <c r="D80" s="241"/>
      <c r="E80" s="391">
        <f>+C90</f>
        <v>0</v>
      </c>
      <c r="F80" s="241"/>
    </row>
    <row r="81" spans="1:8" ht="16.5" hidden="1" thickBot="1">
      <c r="A81" s="235"/>
      <c r="B81" s="393"/>
      <c r="C81" s="394"/>
      <c r="D81" s="241"/>
      <c r="E81" s="382"/>
      <c r="F81" s="241"/>
    </row>
    <row r="82" spans="1:8" ht="16.5" hidden="1" thickBot="1">
      <c r="A82" s="235"/>
      <c r="B82" s="393" t="s">
        <v>457</v>
      </c>
      <c r="C82" s="405"/>
      <c r="D82" s="406"/>
      <c r="E82" s="382"/>
      <c r="F82" s="241"/>
    </row>
    <row r="83" spans="1:8" ht="15.75" hidden="1" thickBot="1">
      <c r="A83" s="235"/>
      <c r="B83" s="407" t="s">
        <v>458</v>
      </c>
      <c r="C83" s="408"/>
      <c r="D83" s="406"/>
      <c r="E83" s="382"/>
      <c r="F83" s="241"/>
    </row>
    <row r="84" spans="1:8" ht="15.75" hidden="1" thickBot="1">
      <c r="A84" s="235"/>
      <c r="B84" s="409" t="s">
        <v>459</v>
      </c>
      <c r="C84" s="408">
        <f>+C83*0.33333</f>
        <v>0</v>
      </c>
      <c r="D84" s="406"/>
      <c r="E84" s="382"/>
      <c r="F84" s="241"/>
    </row>
    <row r="85" spans="1:8" ht="15.75" hidden="1" thickBot="1">
      <c r="A85" s="235"/>
      <c r="B85" s="409" t="s">
        <v>460</v>
      </c>
      <c r="C85" s="408">
        <f>+C83+C84</f>
        <v>0</v>
      </c>
      <c r="D85" s="406"/>
      <c r="E85" s="382"/>
      <c r="F85" s="241"/>
    </row>
    <row r="86" spans="1:8" ht="15.75" hidden="1" thickBot="1">
      <c r="A86" s="235"/>
      <c r="B86" s="409" t="s">
        <v>461</v>
      </c>
      <c r="C86" s="408"/>
      <c r="D86" s="406"/>
      <c r="E86" s="382"/>
      <c r="F86" s="241"/>
    </row>
    <row r="87" spans="1:8" ht="15.75" hidden="1" thickBot="1">
      <c r="A87" s="235"/>
      <c r="B87" s="409" t="s">
        <v>462</v>
      </c>
      <c r="C87" s="408">
        <f>-C82*90%</f>
        <v>0</v>
      </c>
      <c r="D87" s="406"/>
      <c r="E87" s="382"/>
      <c r="F87" s="241"/>
    </row>
    <row r="88" spans="1:8" ht="15.75" hidden="1" thickBot="1">
      <c r="A88" s="235"/>
      <c r="B88" s="409" t="s">
        <v>463</v>
      </c>
      <c r="C88" s="410">
        <f>+C82+C87</f>
        <v>0</v>
      </c>
      <c r="D88" s="233"/>
      <c r="E88" s="382"/>
      <c r="F88" s="241"/>
    </row>
    <row r="89" spans="1:8" ht="18" hidden="1" customHeight="1">
      <c r="A89" s="235"/>
      <c r="B89" s="411" t="s">
        <v>464</v>
      </c>
      <c r="C89" s="233"/>
      <c r="D89" s="233"/>
      <c r="E89" s="382"/>
      <c r="F89" s="241"/>
    </row>
    <row r="90" spans="1:8" ht="18" hidden="1" customHeight="1" thickBot="1">
      <c r="A90" s="235"/>
      <c r="B90" s="407" t="s">
        <v>465</v>
      </c>
      <c r="C90" s="412">
        <f>-C82+C88</f>
        <v>0</v>
      </c>
      <c r="D90" s="233"/>
      <c r="E90" s="382"/>
      <c r="F90" s="241"/>
    </row>
    <row r="91" spans="1:8" ht="18" hidden="1" customHeight="1" thickBot="1">
      <c r="A91" s="235"/>
      <c r="B91" s="235" t="s">
        <v>466</v>
      </c>
      <c r="C91" s="364">
        <f>+C90*25%</f>
        <v>0</v>
      </c>
      <c r="D91" s="233"/>
      <c r="E91" s="382"/>
      <c r="F91" s="241"/>
    </row>
    <row r="92" spans="1:8" ht="15.75" hidden="1" thickBot="1">
      <c r="A92" s="235"/>
      <c r="B92" s="235" t="s">
        <v>467</v>
      </c>
      <c r="C92" s="364">
        <f>+C84-C91</f>
        <v>0</v>
      </c>
      <c r="D92" s="233"/>
      <c r="E92" s="382"/>
      <c r="F92" s="241"/>
    </row>
    <row r="93" spans="1:8" ht="16.5" thickBot="1">
      <c r="A93" s="235"/>
      <c r="B93" s="253" t="s">
        <v>468</v>
      </c>
      <c r="C93" s="254"/>
      <c r="D93" s="241"/>
      <c r="E93" s="391">
        <f>+E79-E80</f>
        <v>158895828.14534587</v>
      </c>
      <c r="F93" s="241"/>
    </row>
    <row r="94" spans="1:8" ht="15.75" thickBot="1">
      <c r="A94" s="235"/>
      <c r="B94" s="411" t="s">
        <v>325</v>
      </c>
      <c r="C94" s="413"/>
      <c r="D94" s="414">
        <v>0.27</v>
      </c>
      <c r="E94" s="391">
        <f>+E93*D94</f>
        <v>42901873.599243388</v>
      </c>
      <c r="F94" s="241"/>
    </row>
    <row r="95" spans="1:8">
      <c r="A95" s="235"/>
      <c r="B95" s="411"/>
      <c r="C95" s="413"/>
      <c r="D95" s="414"/>
      <c r="E95" s="399"/>
      <c r="F95" s="241"/>
      <c r="H95" s="240"/>
    </row>
    <row r="96" spans="1:8" ht="15.75" thickBot="1">
      <c r="A96" s="235"/>
      <c r="B96" s="359" t="s">
        <v>469</v>
      </c>
      <c r="C96" s="360"/>
      <c r="D96" s="241"/>
      <c r="E96" s="382"/>
      <c r="F96" s="241"/>
    </row>
    <row r="97" spans="1:6" ht="15.75" thickBot="1">
      <c r="A97" s="235"/>
      <c r="B97" s="235" t="s">
        <v>470</v>
      </c>
      <c r="C97" s="235"/>
      <c r="D97" s="391">
        <f>+D51</f>
        <v>0</v>
      </c>
      <c r="E97" s="382"/>
      <c r="F97" s="241"/>
    </row>
    <row r="98" spans="1:6" ht="16.5" thickBot="1">
      <c r="A98" s="235"/>
      <c r="B98" s="397" t="s">
        <v>471</v>
      </c>
      <c r="C98" s="397"/>
      <c r="D98" s="391">
        <f>+D97</f>
        <v>0</v>
      </c>
      <c r="E98" s="382"/>
      <c r="F98" s="241"/>
    </row>
    <row r="99" spans="1:6" ht="15.75">
      <c r="A99" s="235"/>
      <c r="B99" s="397" t="s">
        <v>472</v>
      </c>
      <c r="C99" s="415">
        <v>0.4</v>
      </c>
      <c r="D99" s="416">
        <f>+D98*C99</f>
        <v>0</v>
      </c>
      <c r="E99" s="382"/>
      <c r="F99" s="241"/>
    </row>
    <row r="100" spans="1:6" ht="15.75" thickBot="1">
      <c r="A100" s="235"/>
      <c r="B100" s="417"/>
      <c r="C100" s="418"/>
      <c r="D100" s="419"/>
      <c r="E100" s="420"/>
      <c r="F100" s="241"/>
    </row>
    <row r="101" spans="1:6" ht="15.75" thickBot="1"/>
    <row r="102" spans="1:6" ht="19.5" thickBot="1">
      <c r="B102" s="356" t="s">
        <v>555</v>
      </c>
      <c r="C102" s="357"/>
      <c r="D102" s="357"/>
      <c r="E102" s="358"/>
    </row>
    <row r="103" spans="1:6">
      <c r="B103" s="359" t="s">
        <v>392</v>
      </c>
      <c r="C103" s="360"/>
      <c r="D103" s="241"/>
      <c r="E103" s="361"/>
    </row>
    <row r="104" spans="1:6" ht="15.75" thickBot="1">
      <c r="B104" s="359"/>
      <c r="C104" s="360"/>
      <c r="D104" s="241"/>
      <c r="E104" s="361"/>
    </row>
    <row r="105" spans="1:6" ht="19.5" thickBot="1">
      <c r="B105" s="362" t="s">
        <v>556</v>
      </c>
      <c r="C105" s="363"/>
      <c r="D105" s="241"/>
      <c r="E105" s="364">
        <f>+E5</f>
        <v>248415280.23869598</v>
      </c>
    </row>
    <row r="106" spans="1:6" ht="16.5" thickBot="1">
      <c r="B106" s="365" t="s">
        <v>394</v>
      </c>
      <c r="C106" s="366"/>
      <c r="D106" s="367"/>
      <c r="E106" s="364">
        <f>SUM(D107:D139)</f>
        <v>77193819.201079965</v>
      </c>
    </row>
    <row r="107" spans="1:6">
      <c r="B107" s="368" t="s">
        <v>395</v>
      </c>
      <c r="C107" s="369" t="s">
        <v>396</v>
      </c>
      <c r="D107" s="370">
        <f>+D7</f>
        <v>22518000</v>
      </c>
      <c r="E107" s="371"/>
    </row>
    <row r="108" spans="1:6">
      <c r="B108" s="372" t="s">
        <v>397</v>
      </c>
      <c r="C108" s="369" t="s">
        <v>396</v>
      </c>
      <c r="D108" s="373">
        <f>+D8</f>
        <v>0</v>
      </c>
      <c r="E108" s="371"/>
    </row>
    <row r="109" spans="1:6">
      <c r="B109" s="372" t="s">
        <v>539</v>
      </c>
      <c r="C109" s="369" t="s">
        <v>396</v>
      </c>
      <c r="D109" s="373">
        <f>+D9</f>
        <v>0</v>
      </c>
      <c r="E109" s="371"/>
    </row>
    <row r="110" spans="1:6">
      <c r="B110" s="372" t="s">
        <v>398</v>
      </c>
      <c r="C110" s="369" t="s">
        <v>396</v>
      </c>
      <c r="D110" s="373">
        <f t="shared" ref="D110:D139" si="1">+D10</f>
        <v>0</v>
      </c>
      <c r="E110" s="371"/>
    </row>
    <row r="111" spans="1:6">
      <c r="B111" s="375" t="s">
        <v>536</v>
      </c>
      <c r="C111" s="369" t="s">
        <v>537</v>
      </c>
      <c r="D111" s="373">
        <f t="shared" si="1"/>
        <v>0</v>
      </c>
      <c r="E111" s="371"/>
    </row>
    <row r="112" spans="1:6">
      <c r="B112" s="375" t="s">
        <v>530</v>
      </c>
      <c r="C112" s="369" t="s">
        <v>528</v>
      </c>
      <c r="D112" s="373">
        <f>+D12</f>
        <v>0</v>
      </c>
      <c r="E112" s="371"/>
    </row>
    <row r="113" spans="2:5">
      <c r="B113" s="375"/>
      <c r="C113" s="369" t="s">
        <v>400</v>
      </c>
      <c r="D113" s="373">
        <f t="shared" si="1"/>
        <v>0</v>
      </c>
      <c r="E113" s="371"/>
    </row>
    <row r="114" spans="2:5">
      <c r="B114" s="375" t="s">
        <v>401</v>
      </c>
      <c r="C114" s="369" t="s">
        <v>314</v>
      </c>
      <c r="D114" s="373">
        <f t="shared" si="1"/>
        <v>0</v>
      </c>
      <c r="E114" s="371"/>
    </row>
    <row r="115" spans="2:5">
      <c r="B115" s="375" t="s">
        <v>402</v>
      </c>
      <c r="C115" s="369" t="s">
        <v>314</v>
      </c>
      <c r="D115" s="373">
        <f t="shared" si="1"/>
        <v>0</v>
      </c>
      <c r="E115" s="371"/>
    </row>
    <row r="116" spans="2:5">
      <c r="B116" s="375" t="s">
        <v>403</v>
      </c>
      <c r="C116" s="369" t="s">
        <v>314</v>
      </c>
      <c r="D116" s="373">
        <f t="shared" si="1"/>
        <v>0</v>
      </c>
      <c r="E116" s="371"/>
    </row>
    <row r="117" spans="2:5">
      <c r="B117" s="375" t="s">
        <v>404</v>
      </c>
      <c r="C117" s="369" t="s">
        <v>314</v>
      </c>
      <c r="D117" s="373">
        <f t="shared" si="1"/>
        <v>0</v>
      </c>
      <c r="E117" s="371"/>
    </row>
    <row r="118" spans="2:5">
      <c r="B118" s="375" t="s">
        <v>405</v>
      </c>
      <c r="C118" s="369" t="s">
        <v>314</v>
      </c>
      <c r="D118" s="373">
        <f t="shared" si="1"/>
        <v>0</v>
      </c>
      <c r="E118" s="371"/>
    </row>
    <row r="119" spans="2:5">
      <c r="B119" s="375" t="s">
        <v>406</v>
      </c>
      <c r="C119" s="369" t="s">
        <v>407</v>
      </c>
      <c r="D119" s="373"/>
      <c r="E119" s="371"/>
    </row>
    <row r="120" spans="2:5">
      <c r="B120" s="375" t="s">
        <v>408</v>
      </c>
      <c r="C120" s="369" t="s">
        <v>407</v>
      </c>
      <c r="D120" s="373"/>
      <c r="E120" s="371"/>
    </row>
    <row r="121" spans="2:5">
      <c r="B121" s="375" t="s">
        <v>409</v>
      </c>
      <c r="C121" s="369" t="s">
        <v>410</v>
      </c>
      <c r="D121" s="373"/>
      <c r="E121" s="371"/>
    </row>
    <row r="122" spans="2:5">
      <c r="B122" s="375" t="s">
        <v>540</v>
      </c>
      <c r="C122" s="369" t="s">
        <v>541</v>
      </c>
      <c r="D122" s="373"/>
      <c r="E122" s="371"/>
    </row>
    <row r="123" spans="2:5">
      <c r="B123" s="375" t="s">
        <v>411</v>
      </c>
      <c r="C123" s="369" t="s">
        <v>412</v>
      </c>
      <c r="D123" s="373">
        <f t="shared" si="1"/>
        <v>1000000</v>
      </c>
      <c r="E123" s="371"/>
    </row>
    <row r="124" spans="2:5">
      <c r="B124" s="375" t="s">
        <v>413</v>
      </c>
      <c r="C124" s="369" t="s">
        <v>414</v>
      </c>
      <c r="D124" s="373">
        <f t="shared" si="1"/>
        <v>0</v>
      </c>
      <c r="E124" s="371"/>
    </row>
    <row r="125" spans="2:5">
      <c r="B125" s="375" t="s">
        <v>415</v>
      </c>
      <c r="C125" s="369" t="s">
        <v>416</v>
      </c>
      <c r="D125" s="373">
        <f t="shared" si="1"/>
        <v>11732212.442495923</v>
      </c>
      <c r="E125" s="371"/>
    </row>
    <row r="126" spans="2:5">
      <c r="B126" s="375" t="s">
        <v>417</v>
      </c>
      <c r="C126" s="369" t="s">
        <v>416</v>
      </c>
      <c r="D126" s="373">
        <f t="shared" si="1"/>
        <v>0</v>
      </c>
      <c r="E126" s="371"/>
    </row>
    <row r="127" spans="2:5">
      <c r="B127" s="375" t="s">
        <v>527</v>
      </c>
      <c r="C127" s="369" t="s">
        <v>416</v>
      </c>
      <c r="D127" s="373">
        <f t="shared" si="1"/>
        <v>41943606.758584037</v>
      </c>
      <c r="E127" s="371"/>
    </row>
    <row r="128" spans="2:5">
      <c r="B128" s="375" t="s">
        <v>529</v>
      </c>
      <c r="C128" s="369" t="s">
        <v>416</v>
      </c>
      <c r="D128" s="373">
        <f t="shared" si="1"/>
        <v>0</v>
      </c>
      <c r="E128" s="371"/>
    </row>
    <row r="129" spans="2:5">
      <c r="B129" s="375" t="s">
        <v>418</v>
      </c>
      <c r="C129" s="369" t="s">
        <v>416</v>
      </c>
      <c r="D129" s="373">
        <f t="shared" si="1"/>
        <v>0</v>
      </c>
      <c r="E129" s="371"/>
    </row>
    <row r="130" spans="2:5">
      <c r="B130" s="375"/>
      <c r="C130" s="369" t="s">
        <v>416</v>
      </c>
      <c r="D130" s="373">
        <f t="shared" si="1"/>
        <v>0</v>
      </c>
      <c r="E130" s="371"/>
    </row>
    <row r="131" spans="2:5">
      <c r="B131" s="375"/>
      <c r="C131" s="369" t="s">
        <v>416</v>
      </c>
      <c r="D131" s="373">
        <f t="shared" si="1"/>
        <v>0</v>
      </c>
      <c r="E131" s="371"/>
    </row>
    <row r="132" spans="2:5">
      <c r="B132" s="375" t="s">
        <v>419</v>
      </c>
      <c r="C132" s="369" t="s">
        <v>416</v>
      </c>
      <c r="D132" s="373">
        <f t="shared" si="1"/>
        <v>0</v>
      </c>
      <c r="E132" s="371"/>
    </row>
    <row r="133" spans="2:5">
      <c r="B133" s="375"/>
      <c r="C133" s="369" t="s">
        <v>416</v>
      </c>
      <c r="D133" s="373">
        <f t="shared" si="1"/>
        <v>0</v>
      </c>
      <c r="E133" s="371"/>
    </row>
    <row r="134" spans="2:5">
      <c r="B134" s="375"/>
      <c r="C134" s="369" t="s">
        <v>416</v>
      </c>
      <c r="D134" s="373">
        <f t="shared" si="1"/>
        <v>0</v>
      </c>
      <c r="E134" s="371"/>
    </row>
    <row r="135" spans="2:5">
      <c r="B135" s="375"/>
      <c r="C135" s="369" t="s">
        <v>420</v>
      </c>
      <c r="D135" s="373">
        <f t="shared" si="1"/>
        <v>0</v>
      </c>
      <c r="E135" s="371"/>
    </row>
    <row r="136" spans="2:5">
      <c r="B136" s="372"/>
      <c r="C136" s="369" t="s">
        <v>421</v>
      </c>
      <c r="D136" s="373">
        <f t="shared" si="1"/>
        <v>0</v>
      </c>
      <c r="E136" s="371"/>
    </row>
    <row r="137" spans="2:5">
      <c r="B137" s="372"/>
      <c r="C137" s="369" t="s">
        <v>422</v>
      </c>
      <c r="D137" s="373">
        <f t="shared" si="1"/>
        <v>0</v>
      </c>
      <c r="E137" s="371"/>
    </row>
    <row r="138" spans="2:5">
      <c r="B138" s="372"/>
      <c r="C138" s="369" t="s">
        <v>423</v>
      </c>
      <c r="D138" s="373">
        <f t="shared" si="1"/>
        <v>0</v>
      </c>
      <c r="E138" s="371"/>
    </row>
    <row r="139" spans="2:5" ht="15.75" thickBot="1">
      <c r="B139" s="372"/>
      <c r="C139" s="376" t="s">
        <v>424</v>
      </c>
      <c r="D139" s="373">
        <f t="shared" si="1"/>
        <v>0</v>
      </c>
      <c r="E139" s="371"/>
    </row>
    <row r="140" spans="2:5" ht="16.5" thickBot="1">
      <c r="B140" s="365" t="s">
        <v>425</v>
      </c>
      <c r="C140" s="366"/>
      <c r="D140" s="377"/>
      <c r="E140" s="364">
        <f>-SUM(D141:D163)</f>
        <v>-67265552</v>
      </c>
    </row>
    <row r="141" spans="2:5" ht="15.75" thickBot="1">
      <c r="B141" s="547" t="s">
        <v>426</v>
      </c>
      <c r="C141" s="548" t="s">
        <v>427</v>
      </c>
      <c r="D141" s="378">
        <f>+D41</f>
        <v>30724475.07692308</v>
      </c>
      <c r="E141" s="371"/>
    </row>
    <row r="142" spans="2:5">
      <c r="B142" s="379" t="s">
        <v>428</v>
      </c>
      <c r="C142" s="380" t="s">
        <v>427</v>
      </c>
      <c r="D142" s="378">
        <f>+D42</f>
        <v>1541076.9230769232</v>
      </c>
      <c r="E142" s="371"/>
    </row>
    <row r="143" spans="2:5">
      <c r="B143" s="379" t="s">
        <v>429</v>
      </c>
      <c r="C143" s="380" t="s">
        <v>427</v>
      </c>
      <c r="D143" s="381">
        <f>+D43</f>
        <v>0</v>
      </c>
      <c r="E143" s="371"/>
    </row>
    <row r="144" spans="2:5">
      <c r="B144" s="379" t="s">
        <v>538</v>
      </c>
      <c r="C144" s="380" t="s">
        <v>310</v>
      </c>
      <c r="D144" s="381">
        <f>+D44</f>
        <v>0</v>
      </c>
      <c r="E144" s="371"/>
    </row>
    <row r="145" spans="2:5">
      <c r="B145" s="379"/>
      <c r="C145" s="380" t="s">
        <v>430</v>
      </c>
      <c r="D145" s="381"/>
      <c r="E145" s="382"/>
    </row>
    <row r="146" spans="2:5">
      <c r="B146" s="383" t="s">
        <v>431</v>
      </c>
      <c r="C146" s="380" t="s">
        <v>432</v>
      </c>
      <c r="D146" s="381"/>
      <c r="E146" s="382"/>
    </row>
    <row r="147" spans="2:5">
      <c r="B147" s="379"/>
      <c r="C147" s="380" t="s">
        <v>433</v>
      </c>
      <c r="D147" s="381"/>
      <c r="E147" s="382"/>
    </row>
    <row r="148" spans="2:5">
      <c r="B148" s="549" t="s">
        <v>434</v>
      </c>
      <c r="C148" s="380" t="s">
        <v>435</v>
      </c>
      <c r="D148" s="384"/>
      <c r="E148" s="382"/>
    </row>
    <row r="149" spans="2:5">
      <c r="B149" s="549"/>
      <c r="C149" s="380" t="s">
        <v>436</v>
      </c>
      <c r="D149" s="381"/>
      <c r="E149" s="382"/>
    </row>
    <row r="150" spans="2:5">
      <c r="B150" s="549"/>
      <c r="C150" s="380" t="s">
        <v>437</v>
      </c>
      <c r="D150" s="381"/>
      <c r="E150" s="382"/>
    </row>
    <row r="151" spans="2:5">
      <c r="B151" s="550" t="s">
        <v>418</v>
      </c>
      <c r="C151" s="380" t="s">
        <v>438</v>
      </c>
      <c r="D151" s="384">
        <f>+D112</f>
        <v>0</v>
      </c>
      <c r="E151" s="382"/>
    </row>
    <row r="152" spans="2:5">
      <c r="B152" s="550" t="s">
        <v>399</v>
      </c>
      <c r="C152" s="380" t="s">
        <v>438</v>
      </c>
      <c r="D152" s="384"/>
      <c r="E152" s="382"/>
    </row>
    <row r="153" spans="2:5">
      <c r="B153" s="549"/>
      <c r="C153" s="380" t="s">
        <v>438</v>
      </c>
      <c r="D153" s="384">
        <f t="shared" ref="D153:D156" si="2">+D131</f>
        <v>0</v>
      </c>
      <c r="E153" s="382"/>
    </row>
    <row r="154" spans="2:5">
      <c r="B154" s="550" t="s">
        <v>419</v>
      </c>
      <c r="C154" s="380" t="s">
        <v>439</v>
      </c>
      <c r="D154" s="384">
        <f t="shared" si="2"/>
        <v>0</v>
      </c>
      <c r="E154" s="382"/>
    </row>
    <row r="155" spans="2:5">
      <c r="B155" s="549"/>
      <c r="C155" s="380" t="s">
        <v>439</v>
      </c>
      <c r="D155" s="384">
        <f t="shared" si="2"/>
        <v>0</v>
      </c>
      <c r="E155" s="382"/>
    </row>
    <row r="156" spans="2:5">
      <c r="B156" s="549"/>
      <c r="C156" s="380" t="s">
        <v>439</v>
      </c>
      <c r="D156" s="384">
        <f t="shared" si="2"/>
        <v>0</v>
      </c>
      <c r="E156" s="382"/>
    </row>
    <row r="157" spans="2:5">
      <c r="B157" s="379" t="s">
        <v>440</v>
      </c>
      <c r="C157" s="380" t="s">
        <v>441</v>
      </c>
      <c r="D157" s="381">
        <f>+D57</f>
        <v>35000000</v>
      </c>
      <c r="E157" s="382"/>
    </row>
    <row r="158" spans="2:5">
      <c r="B158" s="379"/>
      <c r="C158" s="380" t="s">
        <v>442</v>
      </c>
      <c r="D158" s="381"/>
      <c r="E158" s="382"/>
    </row>
    <row r="159" spans="2:5">
      <c r="B159" s="383" t="s">
        <v>443</v>
      </c>
      <c r="C159" s="380" t="s">
        <v>444</v>
      </c>
      <c r="D159" s="381"/>
      <c r="E159" s="382"/>
    </row>
    <row r="160" spans="2:5">
      <c r="B160" s="379"/>
      <c r="C160" s="380" t="s">
        <v>445</v>
      </c>
      <c r="D160" s="381"/>
      <c r="E160" s="382"/>
    </row>
    <row r="161" spans="2:5">
      <c r="B161" s="379"/>
      <c r="C161" s="380" t="s">
        <v>446</v>
      </c>
      <c r="D161" s="381"/>
      <c r="E161" s="382"/>
    </row>
    <row r="162" spans="2:5">
      <c r="B162" s="385" t="s">
        <v>447</v>
      </c>
      <c r="C162" s="380" t="s">
        <v>448</v>
      </c>
      <c r="D162" s="381"/>
      <c r="E162" s="382"/>
    </row>
    <row r="163" spans="2:5" ht="15.75" thickBot="1">
      <c r="B163" s="386" t="s">
        <v>449</v>
      </c>
      <c r="C163" s="387" t="s">
        <v>450</v>
      </c>
      <c r="D163" s="381"/>
      <c r="E163" s="382"/>
    </row>
    <row r="164" spans="2:5" ht="15.75" thickBot="1">
      <c r="B164" s="388" t="s">
        <v>108</v>
      </c>
      <c r="C164" s="389"/>
      <c r="D164" s="390"/>
      <c r="E164" s="391">
        <f>+E105+E106+E140</f>
        <v>258343547.43977594</v>
      </c>
    </row>
    <row r="165" spans="2:5" ht="16.5" thickBot="1">
      <c r="B165" s="251" t="s">
        <v>326</v>
      </c>
      <c r="C165" s="252"/>
      <c r="D165" s="241"/>
      <c r="E165" s="391">
        <f>-D171</f>
        <v>-102996855.74131654</v>
      </c>
    </row>
    <row r="166" spans="2:5" ht="15.75">
      <c r="B166" s="253" t="s">
        <v>327</v>
      </c>
      <c r="C166" s="254"/>
      <c r="D166" s="241"/>
      <c r="E166" s="371"/>
    </row>
    <row r="167" spans="2:5">
      <c r="B167" s="255" t="s">
        <v>328</v>
      </c>
      <c r="C167" s="256"/>
      <c r="D167" s="257">
        <f>+E164</f>
        <v>258343547.43977594</v>
      </c>
      <c r="E167" s="371"/>
    </row>
    <row r="168" spans="2:5">
      <c r="B168" s="258" t="s">
        <v>443</v>
      </c>
      <c r="C168" s="259"/>
      <c r="D168" s="260">
        <f>+D68</f>
        <v>52349835.95714286</v>
      </c>
      <c r="E168" s="371"/>
    </row>
    <row r="169" spans="2:5">
      <c r="B169" s="258" t="s">
        <v>329</v>
      </c>
      <c r="C169" s="259"/>
      <c r="D169" s="260">
        <f>+D117</f>
        <v>0</v>
      </c>
      <c r="E169" s="371"/>
    </row>
    <row r="170" spans="2:5">
      <c r="B170" s="255" t="s">
        <v>330</v>
      </c>
      <c r="C170" s="261"/>
      <c r="D170" s="257">
        <f>+D167-D168-D169</f>
        <v>205993711.48263308</v>
      </c>
      <c r="E170" s="371"/>
    </row>
    <row r="171" spans="2:5" ht="15.75" thickBot="1">
      <c r="B171" s="262">
        <v>0.5</v>
      </c>
      <c r="C171" s="263"/>
      <c r="D171" s="264">
        <f>+D170/2</f>
        <v>102996855.74131654</v>
      </c>
      <c r="E171" s="371"/>
    </row>
    <row r="172" spans="2:5" ht="15.75" thickBot="1">
      <c r="B172" s="388" t="s">
        <v>108</v>
      </c>
      <c r="C172" s="392"/>
      <c r="D172" s="390"/>
      <c r="E172" s="391">
        <f>+E164+E165</f>
        <v>155346691.69845939</v>
      </c>
    </row>
    <row r="173" spans="2:5" ht="16.5" thickBot="1">
      <c r="B173" s="393" t="s">
        <v>451</v>
      </c>
      <c r="C173" s="394"/>
      <c r="D173" s="395"/>
      <c r="E173" s="396">
        <f>+D175</f>
        <v>0</v>
      </c>
    </row>
    <row r="174" spans="2:5" ht="15.75">
      <c r="B174" s="397" t="s">
        <v>452</v>
      </c>
      <c r="C174" s="398"/>
      <c r="D174" s="241"/>
      <c r="E174" s="399"/>
    </row>
    <row r="175" spans="2:5">
      <c r="B175" s="255" t="s">
        <v>453</v>
      </c>
      <c r="C175" s="256"/>
      <c r="D175" s="260"/>
      <c r="E175" s="399"/>
    </row>
    <row r="176" spans="2:5">
      <c r="B176" s="400" t="s">
        <v>454</v>
      </c>
      <c r="C176" s="401"/>
      <c r="D176" s="257">
        <f>+E172</f>
        <v>155346691.69845939</v>
      </c>
      <c r="E176" s="399"/>
    </row>
    <row r="177" spans="2:5">
      <c r="B177" s="255" t="s">
        <v>455</v>
      </c>
      <c r="C177" s="402"/>
      <c r="D177" s="260"/>
      <c r="E177" s="399"/>
    </row>
    <row r="178" spans="2:5" ht="16.5" thickBot="1">
      <c r="B178" s="397"/>
      <c r="C178" s="398"/>
      <c r="D178" s="241"/>
      <c r="E178" s="399"/>
    </row>
    <row r="179" spans="2:5" ht="15.75" thickBot="1">
      <c r="B179" s="403" t="s">
        <v>108</v>
      </c>
      <c r="C179" s="404"/>
      <c r="D179" s="241"/>
      <c r="E179" s="391">
        <f>+E172-E173</f>
        <v>155346691.69845939</v>
      </c>
    </row>
    <row r="180" spans="2:5" ht="16.5" thickBot="1">
      <c r="B180" s="393" t="s">
        <v>456</v>
      </c>
      <c r="C180" s="394"/>
      <c r="D180" s="241"/>
      <c r="E180" s="391">
        <f>+C190</f>
        <v>0</v>
      </c>
    </row>
    <row r="181" spans="2:5" ht="15.75">
      <c r="B181" s="393"/>
      <c r="C181" s="394"/>
      <c r="D181" s="241"/>
      <c r="E181" s="382"/>
    </row>
    <row r="182" spans="2:5" ht="15.75">
      <c r="B182" s="393" t="s">
        <v>457</v>
      </c>
      <c r="C182" s="405"/>
      <c r="D182" s="406"/>
      <c r="E182" s="382"/>
    </row>
    <row r="183" spans="2:5">
      <c r="B183" s="407" t="s">
        <v>458</v>
      </c>
      <c r="C183" s="408"/>
      <c r="D183" s="406"/>
      <c r="E183" s="382"/>
    </row>
    <row r="184" spans="2:5">
      <c r="B184" s="409" t="s">
        <v>459</v>
      </c>
      <c r="C184" s="408">
        <f>+C183*0.33333</f>
        <v>0</v>
      </c>
      <c r="D184" s="406"/>
      <c r="E184" s="382"/>
    </row>
    <row r="185" spans="2:5">
      <c r="B185" s="409" t="s">
        <v>460</v>
      </c>
      <c r="C185" s="408">
        <f>+C183+C184</f>
        <v>0</v>
      </c>
      <c r="D185" s="406"/>
      <c r="E185" s="382"/>
    </row>
    <row r="186" spans="2:5">
      <c r="B186" s="409" t="s">
        <v>461</v>
      </c>
      <c r="C186" s="408"/>
      <c r="D186" s="406"/>
      <c r="E186" s="382"/>
    </row>
    <row r="187" spans="2:5">
      <c r="B187" s="409" t="s">
        <v>462</v>
      </c>
      <c r="C187" s="408">
        <f>-C182*90%</f>
        <v>0</v>
      </c>
      <c r="D187" s="406"/>
      <c r="E187" s="382"/>
    </row>
    <row r="188" spans="2:5">
      <c r="B188" s="409" t="s">
        <v>463</v>
      </c>
      <c r="C188" s="410">
        <f>+C182+C187</f>
        <v>0</v>
      </c>
      <c r="D188" s="233"/>
      <c r="E188" s="382"/>
    </row>
    <row r="189" spans="2:5">
      <c r="B189" s="411" t="s">
        <v>464</v>
      </c>
      <c r="C189" s="233"/>
      <c r="D189" s="233"/>
      <c r="E189" s="382"/>
    </row>
    <row r="190" spans="2:5" ht="15.75" thickBot="1">
      <c r="B190" s="407" t="s">
        <v>465</v>
      </c>
      <c r="C190" s="412">
        <f>-C182+C188</f>
        <v>0</v>
      </c>
      <c r="D190" s="233"/>
      <c r="E190" s="382"/>
    </row>
    <row r="191" spans="2:5" ht="15.75" thickBot="1">
      <c r="B191" s="235" t="s">
        <v>466</v>
      </c>
      <c r="C191" s="364">
        <f>+C190*25%</f>
        <v>0</v>
      </c>
      <c r="D191" s="233"/>
      <c r="E191" s="382"/>
    </row>
    <row r="192" spans="2:5" ht="15.75" thickBot="1">
      <c r="B192" s="235" t="s">
        <v>467</v>
      </c>
      <c r="C192" s="364">
        <f>+C184-C191</f>
        <v>0</v>
      </c>
      <c r="D192" s="233"/>
      <c r="E192" s="382"/>
    </row>
    <row r="193" spans="2:5" ht="16.5" thickBot="1">
      <c r="B193" s="253" t="s">
        <v>468</v>
      </c>
      <c r="C193" s="254"/>
      <c r="D193" s="241"/>
      <c r="E193" s="391">
        <f>+E179-E180</f>
        <v>155346691.69845939</v>
      </c>
    </row>
    <row r="194" spans="2:5" ht="15.75" thickBot="1">
      <c r="B194" s="411" t="s">
        <v>325</v>
      </c>
      <c r="C194" s="413"/>
      <c r="D194" s="414">
        <v>0.27</v>
      </c>
      <c r="E194" s="391">
        <f>+E193*D194</f>
        <v>41943606.758584037</v>
      </c>
    </row>
    <row r="195" spans="2:5">
      <c r="B195" s="411"/>
      <c r="C195" s="413"/>
      <c r="D195" s="414"/>
      <c r="E195" s="399"/>
    </row>
    <row r="196" spans="2:5" ht="15.75" thickBot="1">
      <c r="B196" s="359" t="s">
        <v>469</v>
      </c>
      <c r="C196" s="360"/>
      <c r="D196" s="241"/>
      <c r="E196" s="382"/>
    </row>
    <row r="197" spans="2:5" ht="15.75" thickBot="1">
      <c r="B197" s="235" t="s">
        <v>470</v>
      </c>
      <c r="C197" s="235"/>
      <c r="D197" s="391">
        <f>+D151</f>
        <v>0</v>
      </c>
      <c r="E197" s="382"/>
    </row>
    <row r="198" spans="2:5" ht="16.5" thickBot="1">
      <c r="B198" s="397" t="s">
        <v>471</v>
      </c>
      <c r="C198" s="397"/>
      <c r="D198" s="391">
        <f>+D197</f>
        <v>0</v>
      </c>
      <c r="E198" s="382"/>
    </row>
    <row r="199" spans="2:5" ht="15.75">
      <c r="B199" s="397" t="s">
        <v>472</v>
      </c>
      <c r="C199" s="415">
        <v>0.4</v>
      </c>
      <c r="D199" s="416">
        <f>+D198*C199</f>
        <v>0</v>
      </c>
      <c r="E199" s="382"/>
    </row>
    <row r="200" spans="2:5" ht="15.75" thickBot="1">
      <c r="B200" s="417"/>
      <c r="C200" s="418"/>
      <c r="D200" s="419"/>
      <c r="E200" s="420"/>
    </row>
    <row r="201" spans="2:5" ht="15.75" thickBot="1"/>
    <row r="202" spans="2:5" ht="16.5" thickBot="1">
      <c r="B202" s="551" t="s">
        <v>89</v>
      </c>
      <c r="C202" s="552"/>
      <c r="D202" s="390"/>
      <c r="E202" s="391">
        <f>+E94-E194</f>
        <v>958266.84065935016</v>
      </c>
    </row>
  </sheetData>
  <mergeCells count="2">
    <mergeCell ref="B2:E2"/>
    <mergeCell ref="B102:E102"/>
  </mergeCells>
  <pageMargins left="0.70866141732283472" right="0.70866141732283472" top="0.74803149606299213" bottom="0.74803149606299213" header="0.31496062992125984" footer="0.31496062992125984"/>
  <pageSetup scale="10" orientation="landscape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zoomScale="98" zoomScaleNormal="98" workbookViewId="0">
      <selection activeCell="H4" sqref="H4"/>
    </sheetView>
  </sheetViews>
  <sheetFormatPr baseColWidth="10" defaultRowHeight="15"/>
  <cols>
    <col min="1" max="1" width="7.7109375" style="9" customWidth="1"/>
    <col min="2" max="3" width="14" bestFit="1" customWidth="1"/>
    <col min="4" max="4" width="4.140625" style="22" customWidth="1"/>
    <col min="5" max="5" width="11.85546875" bestFit="1" customWidth="1"/>
    <col min="8" max="8" width="5.42578125" customWidth="1"/>
    <col min="9" max="9" width="28" customWidth="1"/>
    <col min="10" max="10" width="14.140625" customWidth="1"/>
  </cols>
  <sheetData>
    <row r="1" spans="1:11" ht="18.75">
      <c r="A1" s="23"/>
      <c r="B1" s="339" t="s">
        <v>2</v>
      </c>
      <c r="C1" s="339"/>
      <c r="D1" s="18"/>
      <c r="I1" s="338" t="s">
        <v>373</v>
      </c>
      <c r="J1" s="338"/>
    </row>
    <row r="2" spans="1:11">
      <c r="A2" s="23"/>
      <c r="B2" s="10" t="s">
        <v>3</v>
      </c>
      <c r="C2" s="10" t="s">
        <v>4</v>
      </c>
      <c r="D2" s="19"/>
      <c r="I2" s="10" t="s">
        <v>3</v>
      </c>
      <c r="J2" s="10" t="s">
        <v>4</v>
      </c>
    </row>
    <row r="3" spans="1:11">
      <c r="A3" s="23">
        <v>1</v>
      </c>
      <c r="B3" s="11">
        <f>+'Libro Diario 2023 '!D5</f>
        <v>57872800</v>
      </c>
      <c r="C3" s="12"/>
      <c r="D3" s="17"/>
      <c r="E3" t="s">
        <v>305</v>
      </c>
      <c r="H3">
        <v>15</v>
      </c>
      <c r="I3" s="11">
        <f>+C26</f>
        <v>50000000</v>
      </c>
      <c r="J3" s="12"/>
      <c r="K3" t="s">
        <v>304</v>
      </c>
    </row>
    <row r="4" spans="1:11">
      <c r="A4" s="23"/>
      <c r="B4" s="11"/>
      <c r="C4" s="12">
        <f>+'Libro Diario 2023 '!E47</f>
        <v>1322800</v>
      </c>
      <c r="D4" s="17">
        <v>4</v>
      </c>
      <c r="E4" t="s">
        <v>284</v>
      </c>
      <c r="I4" s="11"/>
      <c r="J4" s="12"/>
    </row>
    <row r="5" spans="1:11">
      <c r="A5" s="23"/>
      <c r="B5" s="11"/>
      <c r="C5" s="12">
        <f>+'Libro Diario 2023 '!E71</f>
        <v>2000000</v>
      </c>
      <c r="D5" s="17">
        <v>9</v>
      </c>
      <c r="E5" t="s">
        <v>289</v>
      </c>
      <c r="I5" s="11"/>
      <c r="J5" s="12"/>
    </row>
    <row r="6" spans="1:11">
      <c r="A6" s="23">
        <v>20</v>
      </c>
      <c r="B6" s="11">
        <f>+'Libro Diario 2023 '!D108</f>
        <v>1190000</v>
      </c>
      <c r="C6" s="12"/>
      <c r="D6" s="17"/>
      <c r="E6" t="s">
        <v>292</v>
      </c>
      <c r="I6" s="11"/>
      <c r="J6" s="12"/>
    </row>
    <row r="7" spans="1:11">
      <c r="A7" s="23"/>
      <c r="B7" s="11"/>
      <c r="C7" s="12"/>
      <c r="D7" s="17"/>
      <c r="E7" t="s">
        <v>287</v>
      </c>
      <c r="I7" s="11"/>
      <c r="J7" s="12"/>
    </row>
    <row r="8" spans="1:11">
      <c r="A8" s="23"/>
      <c r="B8" s="223"/>
      <c r="C8" s="12"/>
      <c r="D8" s="17"/>
      <c r="E8" t="s">
        <v>294</v>
      </c>
      <c r="I8" s="11"/>
      <c r="J8" s="12"/>
    </row>
    <row r="9" spans="1:11">
      <c r="A9" s="23"/>
      <c r="B9" s="11"/>
      <c r="C9" s="12"/>
      <c r="D9" s="20"/>
      <c r="E9" t="s">
        <v>337</v>
      </c>
      <c r="I9" s="13"/>
      <c r="J9" s="14"/>
    </row>
    <row r="10" spans="1:11">
      <c r="A10" s="23"/>
      <c r="B10" s="11"/>
      <c r="C10" s="12"/>
      <c r="D10" s="17"/>
      <c r="I10" s="223">
        <f>SUM(I3:I9)</f>
        <v>50000000</v>
      </c>
      <c r="J10" s="11">
        <f>SUM(J3:J9)</f>
        <v>0</v>
      </c>
    </row>
    <row r="11" spans="1:11">
      <c r="A11" s="23"/>
      <c r="B11" s="11"/>
      <c r="C11" s="12"/>
      <c r="D11" s="17"/>
      <c r="I11" s="9" t="s">
        <v>19</v>
      </c>
      <c r="J11" s="16">
        <f>+I10-J10</f>
        <v>50000000</v>
      </c>
    </row>
    <row r="12" spans="1:11">
      <c r="A12" s="15"/>
      <c r="B12" s="11"/>
      <c r="C12" s="12"/>
      <c r="D12" s="21"/>
      <c r="F12" s="4"/>
      <c r="G12" s="4"/>
    </row>
    <row r="13" spans="1:11">
      <c r="A13" s="15"/>
      <c r="B13" s="13"/>
      <c r="C13" s="14"/>
      <c r="D13" s="18"/>
    </row>
    <row r="14" spans="1:11">
      <c r="A14" s="15"/>
      <c r="B14" s="11">
        <f>SUM(B3:B13)</f>
        <v>59062800</v>
      </c>
      <c r="C14" s="11">
        <f>SUM(C3:C13)</f>
        <v>3322800</v>
      </c>
      <c r="D14" s="19"/>
    </row>
    <row r="15" spans="1:11">
      <c r="A15" s="15"/>
      <c r="B15" s="15" t="s">
        <v>19</v>
      </c>
      <c r="C15" s="16">
        <f>+B14-C14</f>
        <v>55740000</v>
      </c>
      <c r="D15" s="17"/>
    </row>
    <row r="16" spans="1:11">
      <c r="A16" s="15"/>
      <c r="B16" s="4"/>
      <c r="C16" s="4"/>
      <c r="D16" s="17"/>
    </row>
    <row r="17" spans="1:5" ht="18.75">
      <c r="A17" s="15"/>
      <c r="B17" s="340" t="s">
        <v>16</v>
      </c>
      <c r="C17" s="340"/>
      <c r="D17" s="17"/>
    </row>
    <row r="18" spans="1:5">
      <c r="A18" s="15"/>
      <c r="B18" s="10" t="s">
        <v>3</v>
      </c>
      <c r="C18" s="10" t="s">
        <v>4</v>
      </c>
      <c r="D18" s="17"/>
    </row>
    <row r="19" spans="1:5">
      <c r="A19" s="15">
        <v>1</v>
      </c>
      <c r="B19" s="11">
        <f>+'Libro Diario 2023 '!D6</f>
        <v>19767000</v>
      </c>
      <c r="C19" s="12"/>
      <c r="D19" s="17"/>
      <c r="E19" t="s">
        <v>305</v>
      </c>
    </row>
    <row r="20" spans="1:5">
      <c r="A20" s="15"/>
      <c r="B20" s="11"/>
      <c r="C20" s="12">
        <f>+'Libro Diario 2023 '!E43</f>
        <v>7169000</v>
      </c>
      <c r="D20" s="20">
        <v>3</v>
      </c>
      <c r="E20" t="s">
        <v>283</v>
      </c>
    </row>
    <row r="21" spans="1:5">
      <c r="A21" s="15">
        <v>5</v>
      </c>
      <c r="B21" s="11">
        <f>+'Libro Diario 2023 '!D51</f>
        <v>583100000</v>
      </c>
      <c r="C21" s="12"/>
      <c r="D21" s="20"/>
      <c r="E21" t="s">
        <v>285</v>
      </c>
    </row>
    <row r="22" spans="1:5">
      <c r="A22" s="15"/>
      <c r="B22" s="11"/>
      <c r="C22" s="12">
        <f>+'Libro Diario 2023 '!E59</f>
        <v>154000000</v>
      </c>
      <c r="D22" s="20">
        <v>6</v>
      </c>
      <c r="E22" t="str">
        <f>+E20</f>
        <v>pago de impuestos mensuales</v>
      </c>
    </row>
    <row r="23" spans="1:5">
      <c r="A23" s="15"/>
      <c r="B23" s="11"/>
      <c r="C23" s="12">
        <f>+'Libro Diario 2023 '!E67</f>
        <v>41650000</v>
      </c>
      <c r="D23" s="20">
        <v>8</v>
      </c>
      <c r="E23" t="s">
        <v>286</v>
      </c>
    </row>
    <row r="24" spans="1:5">
      <c r="A24" s="15"/>
      <c r="B24" s="11"/>
      <c r="C24" s="12">
        <f>+'Libro Diario 2023 '!E75</f>
        <v>85414494.153846174</v>
      </c>
      <c r="D24" s="20">
        <v>10</v>
      </c>
      <c r="E24" t="s">
        <v>558</v>
      </c>
    </row>
    <row r="25" spans="1:5">
      <c r="A25" s="15">
        <v>14</v>
      </c>
      <c r="B25" s="11">
        <f>+'Libro Diario 2023 '!D86</f>
        <v>100000000</v>
      </c>
      <c r="C25" s="12"/>
      <c r="D25" s="20"/>
      <c r="E25" t="str">
        <f>+E21</f>
        <v xml:space="preserve">ingreso por ventas </v>
      </c>
    </row>
    <row r="26" spans="1:5">
      <c r="A26" s="15"/>
      <c r="B26" s="11"/>
      <c r="C26" s="224">
        <f>+'Libro Diario 2023 '!D89</f>
        <v>50000000</v>
      </c>
      <c r="D26" s="20">
        <v>15</v>
      </c>
      <c r="E26" t="s">
        <v>288</v>
      </c>
    </row>
    <row r="27" spans="1:5">
      <c r="A27" s="15">
        <v>16</v>
      </c>
      <c r="B27" s="223">
        <f>+'Libro Diario 2023 '!D92</f>
        <v>45520000</v>
      </c>
      <c r="C27" s="12"/>
      <c r="D27" s="20"/>
      <c r="E27" t="s">
        <v>290</v>
      </c>
    </row>
    <row r="28" spans="1:5">
      <c r="A28" s="15"/>
      <c r="B28" s="11"/>
      <c r="C28" s="12">
        <f>+'Libro Diario 2023 '!D104</f>
        <v>53460000</v>
      </c>
      <c r="D28" s="20">
        <v>19</v>
      </c>
      <c r="E28" t="s">
        <v>291</v>
      </c>
    </row>
    <row r="29" spans="1:5">
      <c r="A29" s="15"/>
      <c r="B29" s="11"/>
      <c r="C29" s="12">
        <f>+'Libro Diario 2023 '!D105</f>
        <v>14520000</v>
      </c>
      <c r="D29" s="20">
        <v>19</v>
      </c>
      <c r="E29" t="s">
        <v>284</v>
      </c>
    </row>
    <row r="30" spans="1:5">
      <c r="A30" s="15"/>
      <c r="B30" s="11"/>
      <c r="C30" s="12">
        <f>+'Libro Diario 2023 '!D125</f>
        <v>5600000</v>
      </c>
      <c r="D30" s="21">
        <v>25</v>
      </c>
      <c r="E30" t="s">
        <v>293</v>
      </c>
    </row>
    <row r="31" spans="1:5">
      <c r="A31" s="15"/>
      <c r="B31" s="11"/>
      <c r="C31" s="12">
        <f>+'Libro Diario 2023 '!E129</f>
        <v>186085000</v>
      </c>
      <c r="D31" s="21">
        <v>26</v>
      </c>
      <c r="E31" t="s">
        <v>336</v>
      </c>
    </row>
    <row r="32" spans="1:5">
      <c r="A32" s="15"/>
      <c r="B32" s="11"/>
      <c r="C32" s="12">
        <f>+'Libro Diario 2023 '!E132</f>
        <v>52349835.95714286</v>
      </c>
      <c r="D32" s="21">
        <v>27</v>
      </c>
      <c r="E32" t="s">
        <v>299</v>
      </c>
    </row>
    <row r="33" spans="1:5">
      <c r="A33" s="15">
        <v>28</v>
      </c>
      <c r="B33" s="11">
        <f>+'Libro Diario 2023 '!D134</f>
        <v>150000000</v>
      </c>
      <c r="C33" s="12"/>
      <c r="D33" s="21">
        <v>45</v>
      </c>
      <c r="E33" t="s">
        <v>342</v>
      </c>
    </row>
    <row r="34" spans="1:5">
      <c r="A34" s="15"/>
      <c r="B34" s="13"/>
      <c r="C34" s="14"/>
      <c r="D34" s="21"/>
    </row>
    <row r="35" spans="1:5">
      <c r="A35" s="15"/>
      <c r="B35" s="11">
        <f>SUM(B19:B34)</f>
        <v>898387000</v>
      </c>
      <c r="C35" s="11">
        <f>SUM(C19:C34)</f>
        <v>650248330.11098897</v>
      </c>
      <c r="D35" s="21"/>
    </row>
    <row r="36" spans="1:5">
      <c r="A36" s="15"/>
      <c r="B36" s="9" t="s">
        <v>19</v>
      </c>
      <c r="C36" s="16">
        <f>+B35-C35</f>
        <v>248138669.88901103</v>
      </c>
      <c r="D36" s="21"/>
    </row>
    <row r="37" spans="1:5">
      <c r="A37" s="15"/>
      <c r="B37" s="4"/>
      <c r="C37" s="4"/>
      <c r="D37" s="21"/>
    </row>
    <row r="38" spans="1:5">
      <c r="A38" s="15"/>
      <c r="D38" s="21"/>
    </row>
    <row r="39" spans="1:5">
      <c r="A39" s="15"/>
      <c r="D39" s="21"/>
    </row>
    <row r="40" spans="1:5">
      <c r="A40" s="15"/>
      <c r="D40" s="21"/>
    </row>
    <row r="41" spans="1:5">
      <c r="A41" s="15"/>
      <c r="D41" s="21"/>
    </row>
    <row r="42" spans="1:5">
      <c r="A42" s="15"/>
      <c r="D42" s="21"/>
    </row>
    <row r="43" spans="1:5">
      <c r="A43" s="15"/>
      <c r="D43" s="21"/>
    </row>
    <row r="44" spans="1:5">
      <c r="A44" s="15"/>
      <c r="D44" s="21"/>
    </row>
    <row r="45" spans="1:5">
      <c r="A45" s="15"/>
      <c r="D45" s="21"/>
    </row>
    <row r="46" spans="1:5">
      <c r="A46" s="15"/>
      <c r="D46" s="21"/>
    </row>
    <row r="47" spans="1:5">
      <c r="A47" s="15"/>
      <c r="D47" s="21"/>
    </row>
    <row r="48" spans="1:5">
      <c r="A48" s="15"/>
      <c r="D48" s="21"/>
    </row>
  </sheetData>
  <mergeCells count="3">
    <mergeCell ref="B1:C1"/>
    <mergeCell ref="B17:C17"/>
    <mergeCell ref="I1:J1"/>
  </mergeCell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tabSelected="1" zoomScale="91" zoomScaleNormal="91" workbookViewId="0">
      <selection activeCell="D76" sqref="D76"/>
    </sheetView>
  </sheetViews>
  <sheetFormatPr baseColWidth="10" defaultRowHeight="15"/>
  <cols>
    <col min="1" max="1" width="7" style="63" bestFit="1" customWidth="1"/>
    <col min="2" max="2" width="37.85546875" customWidth="1"/>
    <col min="3" max="3" width="16.140625" customWidth="1"/>
    <col min="4" max="4" width="15.5703125" bestFit="1" customWidth="1"/>
    <col min="5" max="5" width="14.85546875" bestFit="1" customWidth="1"/>
    <col min="6" max="6" width="15.5703125" bestFit="1" customWidth="1"/>
    <col min="7" max="7" width="14.85546875" bestFit="1" customWidth="1"/>
    <col min="8" max="8" width="14.42578125" customWidth="1"/>
    <col min="9" max="9" width="14.28515625" bestFit="1" customWidth="1"/>
    <col min="10" max="10" width="15.5703125" bestFit="1" customWidth="1"/>
    <col min="12" max="12" width="14" bestFit="1" customWidth="1"/>
  </cols>
  <sheetData>
    <row r="1" spans="1:13">
      <c r="A1" s="59"/>
      <c r="B1" s="50"/>
      <c r="C1" s="51" t="s">
        <v>374</v>
      </c>
      <c r="D1" s="51"/>
      <c r="E1" s="51"/>
      <c r="F1" s="50"/>
      <c r="G1" s="50"/>
      <c r="H1" s="50"/>
      <c r="I1" s="50"/>
      <c r="J1" s="50"/>
    </row>
    <row r="2" spans="1:13">
      <c r="A2" s="59"/>
      <c r="B2" s="52" t="s">
        <v>376</v>
      </c>
      <c r="C2" s="50"/>
      <c r="D2" s="50"/>
      <c r="E2" s="50"/>
      <c r="F2" s="50"/>
      <c r="G2" s="50"/>
      <c r="H2" s="50"/>
      <c r="I2" s="50"/>
      <c r="J2" s="50"/>
    </row>
    <row r="3" spans="1:13">
      <c r="A3" s="59"/>
      <c r="B3" s="50"/>
      <c r="C3" s="50"/>
      <c r="D3" s="50"/>
      <c r="E3" s="50"/>
      <c r="F3" s="50"/>
      <c r="G3" s="50"/>
      <c r="H3" s="50"/>
      <c r="I3" s="50"/>
      <c r="J3" s="50"/>
    </row>
    <row r="4" spans="1:13">
      <c r="A4" s="58" t="s">
        <v>35</v>
      </c>
      <c r="B4" s="58" t="s">
        <v>36</v>
      </c>
      <c r="C4" s="58" t="s">
        <v>37</v>
      </c>
      <c r="D4" s="58" t="s">
        <v>38</v>
      </c>
      <c r="E4" s="58" t="s">
        <v>39</v>
      </c>
      <c r="F4" s="58" t="s">
        <v>40</v>
      </c>
      <c r="G4" s="58" t="s">
        <v>41</v>
      </c>
      <c r="H4" s="58" t="s">
        <v>42</v>
      </c>
      <c r="I4" s="58" t="s">
        <v>43</v>
      </c>
      <c r="J4" s="58" t="s">
        <v>44</v>
      </c>
    </row>
    <row r="5" spans="1:13">
      <c r="A5" s="60" t="s">
        <v>75</v>
      </c>
      <c r="B5" s="53" t="s">
        <v>80</v>
      </c>
      <c r="C5" s="47">
        <v>400000</v>
      </c>
      <c r="D5" s="47">
        <v>140200</v>
      </c>
      <c r="E5" s="47">
        <f>+IF(C5-D5&gt;0,C5-D5,0)</f>
        <v>259800</v>
      </c>
      <c r="F5" s="47">
        <f>IF((D5-C5)&gt;0,D5-C5,0)</f>
        <v>0</v>
      </c>
      <c r="G5" s="47">
        <f t="shared" ref="G5" si="0">IF(E5&gt;0,E5,0)</f>
        <v>259800</v>
      </c>
      <c r="H5" s="47">
        <f t="shared" ref="H5" si="1">IF(F5&gt;0,F5,0)</f>
        <v>0</v>
      </c>
      <c r="I5" s="47">
        <v>0</v>
      </c>
      <c r="J5" s="47">
        <v>0</v>
      </c>
    </row>
    <row r="6" spans="1:13">
      <c r="A6" s="60" t="s">
        <v>45</v>
      </c>
      <c r="B6" s="53" t="s">
        <v>46</v>
      </c>
      <c r="C6" s="47">
        <f>+J64*1.19</f>
        <v>1190000000</v>
      </c>
      <c r="D6" s="47">
        <f>1140000000+3411000+26000000+822000</f>
        <v>1170233000</v>
      </c>
      <c r="E6" s="47">
        <f>+IF(C6-D6&gt;0,C6-D6,0)</f>
        <v>19767000</v>
      </c>
      <c r="F6" s="47">
        <f>IF((D6-C6)&gt;0,D6-C6,0)</f>
        <v>0</v>
      </c>
      <c r="G6" s="47">
        <f t="shared" ref="G6:H28" si="2">IF(E6&gt;0,E6,0)</f>
        <v>19767000</v>
      </c>
      <c r="H6" s="47">
        <f t="shared" si="2"/>
        <v>0</v>
      </c>
      <c r="I6" s="47">
        <v>0</v>
      </c>
      <c r="J6" s="47">
        <v>0</v>
      </c>
    </row>
    <row r="7" spans="1:13">
      <c r="A7" s="60">
        <v>11011</v>
      </c>
      <c r="B7" s="53" t="s">
        <v>48</v>
      </c>
      <c r="C7" s="47">
        <v>45000000</v>
      </c>
      <c r="D7" s="47"/>
      <c r="E7" s="47">
        <f t="shared" ref="E7" si="3">+IF(C7-D7&gt;0,C7-D7,0)</f>
        <v>45000000</v>
      </c>
      <c r="F7" s="47">
        <f t="shared" ref="F7" si="4">IF((D7-C7)&gt;0,D7-C7,0)</f>
        <v>0</v>
      </c>
      <c r="G7" s="47">
        <f t="shared" ref="G7" si="5">IF(E7&gt;0,E7,0)</f>
        <v>45000000</v>
      </c>
      <c r="H7" s="47">
        <f t="shared" ref="H7" si="6">IF(F7&gt;0,F7,0)</f>
        <v>0</v>
      </c>
      <c r="I7" s="47">
        <v>0</v>
      </c>
      <c r="J7" s="47">
        <v>0</v>
      </c>
    </row>
    <row r="8" spans="1:13">
      <c r="A8" s="60">
        <v>11020</v>
      </c>
      <c r="B8" s="53" t="s">
        <v>101</v>
      </c>
      <c r="C8" s="47">
        <v>125000000</v>
      </c>
      <c r="D8" s="47">
        <v>90000000</v>
      </c>
      <c r="E8" s="47">
        <f t="shared" ref="E8:E28" si="7">+IF(C8-D8&gt;0,C8-D8,0)</f>
        <v>35000000</v>
      </c>
      <c r="F8" s="47">
        <f t="shared" ref="F8:F28" si="8">IF((D8-C8)&gt;0,D8-C8,0)</f>
        <v>0</v>
      </c>
      <c r="G8" s="47">
        <f t="shared" si="2"/>
        <v>35000000</v>
      </c>
      <c r="H8" s="47">
        <f t="shared" si="2"/>
        <v>0</v>
      </c>
      <c r="I8" s="47">
        <v>0</v>
      </c>
      <c r="J8" s="47">
        <v>0</v>
      </c>
    </row>
    <row r="9" spans="1:13" hidden="1">
      <c r="A9" s="60">
        <f>+A8+1</f>
        <v>11021</v>
      </c>
      <c r="B9" s="53" t="s">
        <v>58</v>
      </c>
      <c r="C9" s="47"/>
      <c r="D9" s="47"/>
      <c r="E9" s="47">
        <f t="shared" ref="E9:E25" si="9">+IF(C9-D9&gt;0,C9-D9,0)</f>
        <v>0</v>
      </c>
      <c r="F9" s="47">
        <f t="shared" ref="F9:F25" si="10">IF((D9-C9)&gt;0,D9-C9,0)</f>
        <v>0</v>
      </c>
      <c r="G9" s="47">
        <f t="shared" ref="G9:G25" si="11">IF(E9&gt;0,E9,0)</f>
        <v>0</v>
      </c>
      <c r="H9" s="47">
        <f t="shared" ref="H9:H25" si="12">IF(F9&gt;0,F9,0)</f>
        <v>0</v>
      </c>
      <c r="I9" s="47">
        <v>0</v>
      </c>
      <c r="J9" s="47">
        <v>0</v>
      </c>
    </row>
    <row r="10" spans="1:13">
      <c r="A10" s="60">
        <v>11051</v>
      </c>
      <c r="B10" s="53" t="s">
        <v>49</v>
      </c>
      <c r="C10" s="47">
        <v>650000000</v>
      </c>
      <c r="D10" s="47"/>
      <c r="E10" s="47">
        <f t="shared" si="9"/>
        <v>650000000</v>
      </c>
      <c r="F10" s="47">
        <f t="shared" si="10"/>
        <v>0</v>
      </c>
      <c r="G10" s="47">
        <f t="shared" si="11"/>
        <v>650000000</v>
      </c>
      <c r="H10" s="47">
        <f t="shared" si="12"/>
        <v>0</v>
      </c>
      <c r="I10" s="47">
        <v>0</v>
      </c>
      <c r="J10" s="47">
        <v>0</v>
      </c>
      <c r="M10" s="5"/>
    </row>
    <row r="11" spans="1:13" hidden="1">
      <c r="A11" s="60">
        <v>11071</v>
      </c>
      <c r="B11" s="53" t="s">
        <v>15</v>
      </c>
      <c r="C11" s="47"/>
      <c r="D11" s="47"/>
      <c r="E11" s="47">
        <f t="shared" si="9"/>
        <v>0</v>
      </c>
      <c r="F11" s="47">
        <f t="shared" si="10"/>
        <v>0</v>
      </c>
      <c r="G11" s="47">
        <f t="shared" si="11"/>
        <v>0</v>
      </c>
      <c r="H11" s="47">
        <f t="shared" si="12"/>
        <v>0</v>
      </c>
      <c r="I11" s="47">
        <v>0</v>
      </c>
      <c r="J11" s="47">
        <v>0</v>
      </c>
      <c r="M11" s="5"/>
    </row>
    <row r="12" spans="1:13">
      <c r="A12" s="60">
        <v>12001</v>
      </c>
      <c r="B12" s="53" t="s">
        <v>102</v>
      </c>
      <c r="C12" s="47">
        <v>11200000</v>
      </c>
      <c r="D12" s="47">
        <v>0</v>
      </c>
      <c r="E12" s="47">
        <f t="shared" si="9"/>
        <v>11200000</v>
      </c>
      <c r="F12" s="47">
        <f t="shared" si="10"/>
        <v>0</v>
      </c>
      <c r="G12" s="47">
        <f t="shared" si="11"/>
        <v>11200000</v>
      </c>
      <c r="H12" s="47">
        <f t="shared" si="12"/>
        <v>0</v>
      </c>
      <c r="I12" s="47">
        <v>0</v>
      </c>
      <c r="J12" s="47">
        <v>0</v>
      </c>
      <c r="M12" s="5"/>
    </row>
    <row r="13" spans="1:13">
      <c r="A13" s="60">
        <v>12002</v>
      </c>
      <c r="B13" s="53" t="s">
        <v>50</v>
      </c>
      <c r="C13" s="47">
        <f>+C10*19%</f>
        <v>123500000</v>
      </c>
      <c r="D13" s="47"/>
      <c r="E13" s="47">
        <f t="shared" si="9"/>
        <v>123500000</v>
      </c>
      <c r="F13" s="47">
        <f t="shared" si="10"/>
        <v>0</v>
      </c>
      <c r="G13" s="47">
        <f t="shared" si="11"/>
        <v>123500000</v>
      </c>
      <c r="H13" s="47">
        <f t="shared" si="12"/>
        <v>0</v>
      </c>
      <c r="I13" s="47">
        <v>0</v>
      </c>
      <c r="J13" s="47">
        <v>0</v>
      </c>
      <c r="M13" s="5"/>
    </row>
    <row r="14" spans="1:13" hidden="1">
      <c r="A14" s="60">
        <v>12003</v>
      </c>
      <c r="B14" s="53" t="s">
        <v>104</v>
      </c>
      <c r="C14" s="47"/>
      <c r="D14" s="47"/>
      <c r="E14" s="47">
        <f t="shared" si="9"/>
        <v>0</v>
      </c>
      <c r="F14" s="47">
        <f t="shared" si="10"/>
        <v>0</v>
      </c>
      <c r="G14" s="47">
        <f t="shared" si="11"/>
        <v>0</v>
      </c>
      <c r="H14" s="47">
        <f t="shared" si="12"/>
        <v>0</v>
      </c>
      <c r="I14" s="47">
        <v>0</v>
      </c>
      <c r="J14" s="47">
        <v>0</v>
      </c>
      <c r="M14" s="5"/>
    </row>
    <row r="15" spans="1:13">
      <c r="A15" s="60">
        <v>13001</v>
      </c>
      <c r="B15" s="53" t="s">
        <v>47</v>
      </c>
      <c r="C15" s="47">
        <v>21000000</v>
      </c>
      <c r="D15" s="47"/>
      <c r="E15" s="47">
        <f t="shared" si="9"/>
        <v>21000000</v>
      </c>
      <c r="F15" s="47">
        <f t="shared" si="10"/>
        <v>0</v>
      </c>
      <c r="G15" s="47">
        <f t="shared" si="11"/>
        <v>21000000</v>
      </c>
      <c r="H15" s="47">
        <f t="shared" si="12"/>
        <v>0</v>
      </c>
      <c r="I15" s="47">
        <v>0</v>
      </c>
      <c r="J15" s="47">
        <v>0</v>
      </c>
      <c r="M15" s="5"/>
    </row>
    <row r="16" spans="1:13">
      <c r="A16" s="60" t="s">
        <v>51</v>
      </c>
      <c r="B16" s="53" t="s">
        <v>52</v>
      </c>
      <c r="C16" s="47">
        <f>400000000*30%</f>
        <v>120000000</v>
      </c>
      <c r="D16" s="47">
        <v>0</v>
      </c>
      <c r="E16" s="47">
        <f t="shared" si="9"/>
        <v>120000000</v>
      </c>
      <c r="F16" s="47">
        <f t="shared" si="10"/>
        <v>0</v>
      </c>
      <c r="G16" s="47">
        <f t="shared" si="11"/>
        <v>120000000</v>
      </c>
      <c r="H16" s="47">
        <f t="shared" si="12"/>
        <v>0</v>
      </c>
      <c r="I16" s="47">
        <v>0</v>
      </c>
      <c r="J16" s="47">
        <v>0</v>
      </c>
      <c r="M16" s="5"/>
    </row>
    <row r="17" spans="1:10">
      <c r="A17" s="60" t="s">
        <v>53</v>
      </c>
      <c r="B17" s="53" t="s">
        <v>375</v>
      </c>
      <c r="C17" s="47">
        <f>400000000*70%</f>
        <v>280000000</v>
      </c>
      <c r="D17" s="47">
        <v>0</v>
      </c>
      <c r="E17" s="47">
        <f t="shared" si="9"/>
        <v>280000000</v>
      </c>
      <c r="F17" s="47">
        <f t="shared" si="10"/>
        <v>0</v>
      </c>
      <c r="G17" s="47">
        <f t="shared" si="11"/>
        <v>280000000</v>
      </c>
      <c r="H17" s="47">
        <f t="shared" si="12"/>
        <v>0</v>
      </c>
      <c r="I17" s="47">
        <v>0</v>
      </c>
      <c r="J17" s="47">
        <v>0</v>
      </c>
    </row>
    <row r="18" spans="1:10">
      <c r="A18" s="60">
        <v>15020</v>
      </c>
      <c r="B18" s="53" t="s">
        <v>381</v>
      </c>
      <c r="C18" s="47">
        <v>5000000</v>
      </c>
      <c r="D18" s="47"/>
      <c r="E18" s="47">
        <f t="shared" si="9"/>
        <v>5000000</v>
      </c>
      <c r="F18" s="47">
        <f t="shared" si="10"/>
        <v>0</v>
      </c>
      <c r="G18" s="47">
        <f t="shared" si="11"/>
        <v>5000000</v>
      </c>
      <c r="H18" s="47">
        <f t="shared" si="12"/>
        <v>0</v>
      </c>
      <c r="I18" s="47">
        <v>0</v>
      </c>
      <c r="J18" s="47">
        <v>0</v>
      </c>
    </row>
    <row r="19" spans="1:10">
      <c r="A19" s="60">
        <v>15031</v>
      </c>
      <c r="B19" s="53" t="s">
        <v>81</v>
      </c>
      <c r="C19" s="47">
        <v>12000000</v>
      </c>
      <c r="D19" s="47"/>
      <c r="E19" s="47">
        <f t="shared" si="9"/>
        <v>12000000</v>
      </c>
      <c r="F19" s="47">
        <f t="shared" si="10"/>
        <v>0</v>
      </c>
      <c r="G19" s="47">
        <f t="shared" si="11"/>
        <v>12000000</v>
      </c>
      <c r="H19" s="47">
        <f t="shared" si="12"/>
        <v>0</v>
      </c>
      <c r="I19" s="47">
        <v>0</v>
      </c>
      <c r="J19" s="47">
        <v>0</v>
      </c>
    </row>
    <row r="20" spans="1:10" hidden="1">
      <c r="A20" s="60">
        <v>15101</v>
      </c>
      <c r="B20" s="53" t="s">
        <v>97</v>
      </c>
      <c r="C20" s="47"/>
      <c r="D20" s="47"/>
      <c r="E20" s="47">
        <f t="shared" si="9"/>
        <v>0</v>
      </c>
      <c r="F20" s="47">
        <f t="shared" si="10"/>
        <v>0</v>
      </c>
      <c r="G20" s="47">
        <f t="shared" si="11"/>
        <v>0</v>
      </c>
      <c r="H20" s="47">
        <f t="shared" si="12"/>
        <v>0</v>
      </c>
      <c r="I20" s="47">
        <v>0</v>
      </c>
      <c r="J20" s="47">
        <v>0</v>
      </c>
    </row>
    <row r="21" spans="1:10" hidden="1">
      <c r="A21" s="60">
        <v>15102</v>
      </c>
      <c r="B21" s="53" t="s">
        <v>98</v>
      </c>
      <c r="C21" s="47"/>
      <c r="D21" s="47"/>
      <c r="E21" s="47">
        <f t="shared" si="9"/>
        <v>0</v>
      </c>
      <c r="F21" s="47">
        <f t="shared" si="10"/>
        <v>0</v>
      </c>
      <c r="G21" s="47">
        <f t="shared" si="11"/>
        <v>0</v>
      </c>
      <c r="H21" s="47">
        <f t="shared" si="12"/>
        <v>0</v>
      </c>
      <c r="I21" s="47">
        <v>0</v>
      </c>
      <c r="J21" s="47">
        <v>0</v>
      </c>
    </row>
    <row r="22" spans="1:10" hidden="1">
      <c r="A22" s="62">
        <v>15410</v>
      </c>
      <c r="B22" s="53" t="s">
        <v>54</v>
      </c>
      <c r="C22" s="47"/>
      <c r="D22" s="47">
        <f>+C59</f>
        <v>0</v>
      </c>
      <c r="E22" s="47">
        <f t="shared" si="9"/>
        <v>0</v>
      </c>
      <c r="F22" s="47">
        <f t="shared" si="10"/>
        <v>0</v>
      </c>
      <c r="G22" s="47">
        <f t="shared" si="11"/>
        <v>0</v>
      </c>
      <c r="H22" s="47">
        <f t="shared" si="12"/>
        <v>0</v>
      </c>
      <c r="I22" s="47">
        <v>0</v>
      </c>
      <c r="J22" s="47">
        <v>0</v>
      </c>
    </row>
    <row r="23" spans="1:10" hidden="1">
      <c r="A23" s="62">
        <v>15420</v>
      </c>
      <c r="B23" s="53" t="s">
        <v>84</v>
      </c>
      <c r="C23" s="47"/>
      <c r="D23" s="47"/>
      <c r="E23" s="47">
        <f t="shared" si="9"/>
        <v>0</v>
      </c>
      <c r="F23" s="47">
        <f t="shared" si="10"/>
        <v>0</v>
      </c>
      <c r="G23" s="47">
        <f t="shared" si="11"/>
        <v>0</v>
      </c>
      <c r="H23" s="47">
        <f t="shared" si="12"/>
        <v>0</v>
      </c>
      <c r="I23" s="47">
        <v>0</v>
      </c>
      <c r="J23" s="47">
        <v>0</v>
      </c>
    </row>
    <row r="24" spans="1:10">
      <c r="A24" s="62">
        <v>20001</v>
      </c>
      <c r="B24" s="53" t="s">
        <v>91</v>
      </c>
      <c r="C24" s="47"/>
      <c r="D24" s="47">
        <v>100000000</v>
      </c>
      <c r="E24" s="47">
        <f t="shared" si="9"/>
        <v>0</v>
      </c>
      <c r="F24" s="47">
        <f t="shared" si="10"/>
        <v>100000000</v>
      </c>
      <c r="G24" s="47">
        <f t="shared" si="11"/>
        <v>0</v>
      </c>
      <c r="H24" s="47">
        <f t="shared" si="12"/>
        <v>100000000</v>
      </c>
      <c r="I24" s="47"/>
      <c r="J24" s="47"/>
    </row>
    <row r="25" spans="1:10" hidden="1">
      <c r="A25" s="62">
        <v>20021</v>
      </c>
      <c r="B25" s="53" t="s">
        <v>92</v>
      </c>
      <c r="C25" s="47"/>
      <c r="D25" s="47"/>
      <c r="E25" s="47">
        <f t="shared" si="9"/>
        <v>0</v>
      </c>
      <c r="F25" s="47">
        <f t="shared" si="10"/>
        <v>0</v>
      </c>
      <c r="G25" s="47">
        <f t="shared" si="11"/>
        <v>0</v>
      </c>
      <c r="H25" s="47">
        <f t="shared" si="12"/>
        <v>0</v>
      </c>
      <c r="I25" s="47"/>
      <c r="J25" s="47"/>
    </row>
    <row r="26" spans="1:10">
      <c r="A26" s="62">
        <v>20151</v>
      </c>
      <c r="B26" s="53" t="s">
        <v>55</v>
      </c>
      <c r="C26" s="47"/>
      <c r="D26" s="47">
        <f>+D64*19%</f>
        <v>190000000</v>
      </c>
      <c r="E26" s="47">
        <f t="shared" si="7"/>
        <v>0</v>
      </c>
      <c r="F26" s="47">
        <f t="shared" si="8"/>
        <v>190000000</v>
      </c>
      <c r="G26" s="47">
        <f t="shared" si="2"/>
        <v>0</v>
      </c>
      <c r="H26" s="47">
        <f t="shared" si="2"/>
        <v>190000000</v>
      </c>
      <c r="I26" s="47"/>
      <c r="J26" s="47"/>
    </row>
    <row r="27" spans="1:10">
      <c r="A27" s="60" t="s">
        <v>56</v>
      </c>
      <c r="B27" s="53" t="s">
        <v>6</v>
      </c>
      <c r="C27" s="47">
        <v>915000</v>
      </c>
      <c r="D27" s="47">
        <v>187000000</v>
      </c>
      <c r="E27" s="47">
        <f t="shared" si="7"/>
        <v>0</v>
      </c>
      <c r="F27" s="47">
        <f t="shared" si="8"/>
        <v>186085000</v>
      </c>
      <c r="G27" s="47">
        <f t="shared" si="2"/>
        <v>0</v>
      </c>
      <c r="H27" s="47">
        <f t="shared" si="2"/>
        <v>186085000</v>
      </c>
      <c r="I27" s="47">
        <v>0</v>
      </c>
      <c r="J27" s="47">
        <v>0</v>
      </c>
    </row>
    <row r="28" spans="1:10">
      <c r="A28" s="60">
        <v>21002</v>
      </c>
      <c r="B28" s="53" t="s">
        <v>57</v>
      </c>
      <c r="C28" s="47"/>
      <c r="D28" s="47">
        <v>18000000</v>
      </c>
      <c r="E28" s="47">
        <f t="shared" si="7"/>
        <v>0</v>
      </c>
      <c r="F28" s="47">
        <f t="shared" si="8"/>
        <v>18000000</v>
      </c>
      <c r="G28" s="47">
        <f t="shared" si="2"/>
        <v>0</v>
      </c>
      <c r="H28" s="47">
        <f t="shared" si="2"/>
        <v>18000000</v>
      </c>
      <c r="I28" s="47">
        <v>0</v>
      </c>
      <c r="J28" s="47">
        <v>0</v>
      </c>
    </row>
    <row r="29" spans="1:10">
      <c r="A29" s="60">
        <v>22001</v>
      </c>
      <c r="B29" s="53" t="s">
        <v>105</v>
      </c>
      <c r="C29" s="47">
        <f>+D29</f>
        <v>41148000</v>
      </c>
      <c r="D29" s="47">
        <f>+'prov vacaciones 2022 y 2023'!H21</f>
        <v>41148000</v>
      </c>
      <c r="E29" s="47">
        <f t="shared" ref="E29:E42" si="13">+IF(C29-D29&gt;0,C29-D29,0)</f>
        <v>0</v>
      </c>
      <c r="F29" s="47">
        <f t="shared" ref="F29:F42" si="14">IF((D29-C29)&gt;0,D29-C29,0)</f>
        <v>0</v>
      </c>
      <c r="G29" s="47">
        <f t="shared" ref="G29:G42" si="15">IF(E29&gt;0,E29,0)</f>
        <v>0</v>
      </c>
      <c r="H29" s="47">
        <f t="shared" ref="H29:H42" si="16">IF(F29&gt;0,F29,0)</f>
        <v>0</v>
      </c>
      <c r="I29" s="47">
        <v>0</v>
      </c>
      <c r="J29" s="47">
        <v>0</v>
      </c>
    </row>
    <row r="30" spans="1:10">
      <c r="A30" s="60">
        <v>22002</v>
      </c>
      <c r="B30" s="53" t="s">
        <v>100</v>
      </c>
      <c r="C30" s="47">
        <f>5904000-634800+1230000+5000000+600000</f>
        <v>12099200</v>
      </c>
      <c r="D30" s="47">
        <f>+'prov vacaciones 2022 y 2023'!H20+1230000</f>
        <v>13422000</v>
      </c>
      <c r="E30" s="47">
        <f t="shared" si="13"/>
        <v>0</v>
      </c>
      <c r="F30" s="47">
        <f t="shared" si="14"/>
        <v>1322800</v>
      </c>
      <c r="G30" s="47">
        <f t="shared" si="15"/>
        <v>0</v>
      </c>
      <c r="H30" s="47">
        <f t="shared" si="16"/>
        <v>1322800</v>
      </c>
      <c r="I30" s="47">
        <v>0</v>
      </c>
      <c r="J30" s="47">
        <v>0</v>
      </c>
    </row>
    <row r="31" spans="1:10">
      <c r="A31" s="60">
        <v>22051</v>
      </c>
      <c r="B31" s="53" t="s">
        <v>60</v>
      </c>
      <c r="C31" s="47"/>
      <c r="D31" s="47">
        <v>500000</v>
      </c>
      <c r="E31" s="47">
        <f t="shared" si="13"/>
        <v>0</v>
      </c>
      <c r="F31" s="47">
        <f t="shared" si="14"/>
        <v>500000</v>
      </c>
      <c r="G31" s="47">
        <f t="shared" si="15"/>
        <v>0</v>
      </c>
      <c r="H31" s="47">
        <f t="shared" si="16"/>
        <v>500000</v>
      </c>
      <c r="I31" s="47">
        <v>0</v>
      </c>
      <c r="J31" s="47">
        <v>0</v>
      </c>
    </row>
    <row r="32" spans="1:10" hidden="1">
      <c r="A32" s="61">
        <v>23001</v>
      </c>
      <c r="B32" s="53" t="s">
        <v>88</v>
      </c>
      <c r="C32" s="47"/>
      <c r="D32" s="47"/>
      <c r="E32" s="47">
        <f t="shared" si="13"/>
        <v>0</v>
      </c>
      <c r="F32" s="47">
        <f t="shared" si="14"/>
        <v>0</v>
      </c>
      <c r="G32" s="47">
        <f t="shared" si="15"/>
        <v>0</v>
      </c>
      <c r="H32" s="47">
        <f t="shared" si="16"/>
        <v>0</v>
      </c>
      <c r="I32" s="47">
        <v>0</v>
      </c>
      <c r="J32" s="47">
        <v>0</v>
      </c>
    </row>
    <row r="33" spans="1:10" hidden="1">
      <c r="A33" s="62">
        <v>24001</v>
      </c>
      <c r="B33" s="53" t="s">
        <v>61</v>
      </c>
      <c r="C33" s="47"/>
      <c r="D33" s="47">
        <f>+C50</f>
        <v>0</v>
      </c>
      <c r="E33" s="47">
        <f t="shared" si="13"/>
        <v>0</v>
      </c>
      <c r="F33" s="47">
        <f t="shared" si="14"/>
        <v>0</v>
      </c>
      <c r="G33" s="47">
        <f t="shared" si="15"/>
        <v>0</v>
      </c>
      <c r="H33" s="47">
        <f t="shared" si="16"/>
        <v>0</v>
      </c>
      <c r="I33" s="47">
        <v>0</v>
      </c>
      <c r="J33" s="47">
        <v>0</v>
      </c>
    </row>
    <row r="34" spans="1:10" hidden="1">
      <c r="A34" s="61">
        <v>24002</v>
      </c>
      <c r="B34" s="53" t="s">
        <v>96</v>
      </c>
      <c r="C34" s="47"/>
      <c r="D34" s="47"/>
      <c r="E34" s="47">
        <f t="shared" si="13"/>
        <v>0</v>
      </c>
      <c r="F34" s="47">
        <f t="shared" si="14"/>
        <v>0</v>
      </c>
      <c r="G34" s="47">
        <f t="shared" si="15"/>
        <v>0</v>
      </c>
      <c r="H34" s="47">
        <f t="shared" si="16"/>
        <v>0</v>
      </c>
      <c r="I34" s="47">
        <v>0</v>
      </c>
      <c r="J34" s="47">
        <v>0</v>
      </c>
    </row>
    <row r="35" spans="1:10" hidden="1">
      <c r="A35" s="61">
        <v>24010</v>
      </c>
      <c r="B35" s="53" t="s">
        <v>103</v>
      </c>
      <c r="C35" s="47"/>
      <c r="D35" s="47"/>
      <c r="E35" s="47">
        <f t="shared" si="13"/>
        <v>0</v>
      </c>
      <c r="F35" s="47">
        <f t="shared" si="14"/>
        <v>0</v>
      </c>
      <c r="G35" s="47">
        <f t="shared" si="15"/>
        <v>0</v>
      </c>
      <c r="H35" s="47">
        <f t="shared" si="16"/>
        <v>0</v>
      </c>
      <c r="I35" s="47">
        <v>0</v>
      </c>
      <c r="J35" s="47">
        <v>0</v>
      </c>
    </row>
    <row r="36" spans="1:10" hidden="1">
      <c r="A36" s="60">
        <v>24015</v>
      </c>
      <c r="B36" s="53" t="s">
        <v>59</v>
      </c>
      <c r="C36" s="47"/>
      <c r="D36" s="47"/>
      <c r="E36" s="47">
        <f t="shared" si="13"/>
        <v>0</v>
      </c>
      <c r="F36" s="47">
        <f t="shared" si="14"/>
        <v>0</v>
      </c>
      <c r="G36" s="47">
        <f t="shared" si="15"/>
        <v>0</v>
      </c>
      <c r="H36" s="47">
        <f t="shared" si="16"/>
        <v>0</v>
      </c>
      <c r="I36" s="47">
        <v>0</v>
      </c>
      <c r="J36" s="47">
        <v>0</v>
      </c>
    </row>
    <row r="37" spans="1:10" hidden="1">
      <c r="A37" s="61">
        <v>25001</v>
      </c>
      <c r="B37" s="53" t="s">
        <v>89</v>
      </c>
      <c r="C37" s="47"/>
      <c r="D37" s="47"/>
      <c r="E37" s="47">
        <f t="shared" si="13"/>
        <v>0</v>
      </c>
      <c r="F37" s="47">
        <f t="shared" si="14"/>
        <v>0</v>
      </c>
      <c r="G37" s="47">
        <f t="shared" si="15"/>
        <v>0</v>
      </c>
      <c r="H37" s="47">
        <f t="shared" si="16"/>
        <v>0</v>
      </c>
      <c r="I37" s="47">
        <v>0</v>
      </c>
      <c r="J37" s="47">
        <v>0</v>
      </c>
    </row>
    <row r="38" spans="1:10">
      <c r="A38" s="60">
        <v>33001</v>
      </c>
      <c r="B38" s="53" t="s">
        <v>72</v>
      </c>
      <c r="C38" s="47"/>
      <c r="D38" s="47">
        <v>300000000</v>
      </c>
      <c r="E38" s="47">
        <f t="shared" si="13"/>
        <v>0</v>
      </c>
      <c r="F38" s="47">
        <f t="shared" si="14"/>
        <v>300000000</v>
      </c>
      <c r="G38" s="47">
        <f t="shared" si="15"/>
        <v>0</v>
      </c>
      <c r="H38" s="47">
        <f t="shared" si="16"/>
        <v>300000000</v>
      </c>
      <c r="I38" s="47">
        <v>0</v>
      </c>
      <c r="J38" s="47">
        <v>0</v>
      </c>
    </row>
    <row r="39" spans="1:10">
      <c r="A39" s="60">
        <v>33002</v>
      </c>
      <c r="B39" s="53" t="s">
        <v>73</v>
      </c>
      <c r="C39" s="47">
        <f>+D38</f>
        <v>300000000</v>
      </c>
      <c r="D39" s="47"/>
      <c r="E39" s="47">
        <f t="shared" si="13"/>
        <v>300000000</v>
      </c>
      <c r="F39" s="47">
        <f t="shared" si="14"/>
        <v>0</v>
      </c>
      <c r="G39" s="47">
        <f t="shared" si="15"/>
        <v>300000000</v>
      </c>
      <c r="H39" s="47">
        <f t="shared" si="16"/>
        <v>0</v>
      </c>
      <c r="I39" s="47">
        <v>0</v>
      </c>
      <c r="J39" s="47">
        <v>0</v>
      </c>
    </row>
    <row r="40" spans="1:10" hidden="1">
      <c r="A40" s="60">
        <v>33003</v>
      </c>
      <c r="B40" s="53" t="s">
        <v>74</v>
      </c>
      <c r="C40" s="47"/>
      <c r="D40" s="47"/>
      <c r="E40" s="47">
        <f t="shared" si="13"/>
        <v>0</v>
      </c>
      <c r="F40" s="47">
        <f t="shared" si="14"/>
        <v>0</v>
      </c>
      <c r="G40" s="47">
        <f t="shared" si="15"/>
        <v>0</v>
      </c>
      <c r="H40" s="47">
        <f t="shared" si="16"/>
        <v>0</v>
      </c>
      <c r="I40" s="47">
        <v>0</v>
      </c>
      <c r="J40" s="47">
        <v>0</v>
      </c>
    </row>
    <row r="41" spans="1:10" hidden="1">
      <c r="A41" s="60">
        <v>33011</v>
      </c>
      <c r="B41" s="53" t="s">
        <v>62</v>
      </c>
      <c r="C41" s="47"/>
      <c r="D41" s="47"/>
      <c r="E41" s="47">
        <f t="shared" si="13"/>
        <v>0</v>
      </c>
      <c r="F41" s="47">
        <f t="shared" si="14"/>
        <v>0</v>
      </c>
      <c r="G41" s="47">
        <f t="shared" si="15"/>
        <v>0</v>
      </c>
      <c r="H41" s="47">
        <f t="shared" si="16"/>
        <v>0</v>
      </c>
      <c r="I41" s="47">
        <v>0</v>
      </c>
      <c r="J41" s="47">
        <v>0</v>
      </c>
    </row>
    <row r="42" spans="1:10">
      <c r="A42" s="62">
        <v>34001</v>
      </c>
      <c r="B42" s="53" t="s">
        <v>76</v>
      </c>
      <c r="C42" s="47">
        <v>100000000</v>
      </c>
      <c r="D42" s="47">
        <v>0</v>
      </c>
      <c r="E42" s="47">
        <f t="shared" si="13"/>
        <v>100000000</v>
      </c>
      <c r="F42" s="47">
        <f t="shared" si="14"/>
        <v>0</v>
      </c>
      <c r="G42" s="47">
        <f t="shared" si="15"/>
        <v>100000000</v>
      </c>
      <c r="H42" s="47">
        <f t="shared" si="16"/>
        <v>0</v>
      </c>
      <c r="I42" s="47">
        <v>0</v>
      </c>
      <c r="J42" s="47">
        <v>0</v>
      </c>
    </row>
    <row r="43" spans="1:10" hidden="1">
      <c r="A43" s="62">
        <v>41001</v>
      </c>
      <c r="B43" s="53" t="s">
        <v>94</v>
      </c>
      <c r="C43" s="47"/>
      <c r="D43" s="47"/>
      <c r="E43" s="47">
        <f t="shared" ref="E43" si="17">IF(C43&gt;D43,(C43-D43),0)</f>
        <v>0</v>
      </c>
      <c r="F43" s="47">
        <f t="shared" ref="F43" si="18">IF(D43&gt;C43,D43-C43,0)</f>
        <v>0</v>
      </c>
      <c r="G43" s="47"/>
      <c r="H43" s="47"/>
      <c r="I43" s="47">
        <f t="shared" ref="I43" si="19">IF(E43&gt;F43,E43,0)</f>
        <v>0</v>
      </c>
      <c r="J43" s="47">
        <f t="shared" ref="J43" si="20">IF(F43&gt;E43,F43,0)</f>
        <v>0</v>
      </c>
    </row>
    <row r="44" spans="1:10">
      <c r="A44" s="62">
        <v>42001</v>
      </c>
      <c r="B44" s="53" t="s">
        <v>63</v>
      </c>
      <c r="C44" s="47">
        <f>+'prov vacaciones 2022 y 2023'!G18</f>
        <v>50800000</v>
      </c>
      <c r="D44" s="47"/>
      <c r="E44" s="47">
        <f t="shared" ref="E44:E64" si="21">IF(C44&gt;D44,(C44-D44),0)</f>
        <v>50800000</v>
      </c>
      <c r="F44" s="47">
        <f t="shared" ref="F44:F64" si="22">IF(D44&gt;C44,D44-C44,0)</f>
        <v>0</v>
      </c>
      <c r="G44" s="47"/>
      <c r="H44" s="47"/>
      <c r="I44" s="47">
        <f t="shared" ref="I44:I64" si="23">IF(E44&gt;F44,E44,0)</f>
        <v>50800000</v>
      </c>
      <c r="J44" s="47">
        <f t="shared" ref="J44:J64" si="24">IF(F44&gt;E44,F44,0)</f>
        <v>0</v>
      </c>
    </row>
    <row r="45" spans="1:10">
      <c r="A45" s="62">
        <v>42002</v>
      </c>
      <c r="B45" s="53" t="s">
        <v>77</v>
      </c>
      <c r="C45" s="47">
        <f>+'prov vacaciones 2022 y 2023'!G19</f>
        <v>2540000</v>
      </c>
      <c r="D45" s="47"/>
      <c r="E45" s="47">
        <f t="shared" si="21"/>
        <v>2540000</v>
      </c>
      <c r="F45" s="47">
        <f t="shared" si="22"/>
        <v>0</v>
      </c>
      <c r="G45" s="47"/>
      <c r="H45" s="47"/>
      <c r="I45" s="47">
        <f t="shared" si="23"/>
        <v>2540000</v>
      </c>
      <c r="J45" s="47">
        <f t="shared" si="24"/>
        <v>0</v>
      </c>
    </row>
    <row r="46" spans="1:10">
      <c r="A46" s="62">
        <v>42051</v>
      </c>
      <c r="B46" s="53" t="s">
        <v>64</v>
      </c>
      <c r="C46" s="47">
        <v>12345000</v>
      </c>
      <c r="D46" s="47"/>
      <c r="E46" s="47">
        <f t="shared" si="21"/>
        <v>12345000</v>
      </c>
      <c r="F46" s="47">
        <f t="shared" si="22"/>
        <v>0</v>
      </c>
      <c r="G46" s="47"/>
      <c r="H46" s="47"/>
      <c r="I46" s="47">
        <f t="shared" si="23"/>
        <v>12345000</v>
      </c>
      <c r="J46" s="47">
        <f t="shared" si="24"/>
        <v>0</v>
      </c>
    </row>
    <row r="47" spans="1:10" hidden="1">
      <c r="A47" s="62">
        <v>43001</v>
      </c>
      <c r="B47" s="53" t="s">
        <v>95</v>
      </c>
      <c r="C47" s="47"/>
      <c r="D47" s="47"/>
      <c r="E47" s="47">
        <f t="shared" si="21"/>
        <v>0</v>
      </c>
      <c r="F47" s="47">
        <f t="shared" si="22"/>
        <v>0</v>
      </c>
      <c r="G47" s="47"/>
      <c r="H47" s="47"/>
      <c r="I47" s="47">
        <f t="shared" si="23"/>
        <v>0</v>
      </c>
      <c r="J47" s="47">
        <f t="shared" si="24"/>
        <v>0</v>
      </c>
    </row>
    <row r="48" spans="1:10" hidden="1">
      <c r="A48" s="62">
        <v>43002</v>
      </c>
      <c r="B48" s="53" t="s">
        <v>99</v>
      </c>
      <c r="C48" s="47"/>
      <c r="D48" s="47"/>
      <c r="E48" s="47">
        <f t="shared" si="21"/>
        <v>0</v>
      </c>
      <c r="F48" s="47">
        <f t="shared" si="22"/>
        <v>0</v>
      </c>
      <c r="G48" s="47"/>
      <c r="H48" s="47"/>
      <c r="I48" s="47">
        <f t="shared" si="23"/>
        <v>0</v>
      </c>
      <c r="J48" s="47">
        <f t="shared" si="24"/>
        <v>0</v>
      </c>
    </row>
    <row r="49" spans="1:13">
      <c r="A49" s="62" t="s">
        <v>65</v>
      </c>
      <c r="B49" s="53" t="s">
        <v>66</v>
      </c>
      <c r="C49" s="47">
        <v>3570000</v>
      </c>
      <c r="D49" s="47"/>
      <c r="E49" s="47">
        <f t="shared" si="21"/>
        <v>3570000</v>
      </c>
      <c r="F49" s="47">
        <f t="shared" si="22"/>
        <v>0</v>
      </c>
      <c r="G49" s="47"/>
      <c r="H49" s="47"/>
      <c r="I49" s="47">
        <f t="shared" si="23"/>
        <v>3570000</v>
      </c>
      <c r="J49" s="47">
        <f t="shared" si="24"/>
        <v>0</v>
      </c>
    </row>
    <row r="50" spans="1:13" hidden="1">
      <c r="A50" s="62" t="s">
        <v>67</v>
      </c>
      <c r="B50" s="53" t="s">
        <v>68</v>
      </c>
      <c r="C50" s="47"/>
      <c r="D50" s="47"/>
      <c r="E50" s="47">
        <f t="shared" si="21"/>
        <v>0</v>
      </c>
      <c r="F50" s="47">
        <f t="shared" si="22"/>
        <v>0</v>
      </c>
      <c r="G50" s="47"/>
      <c r="H50" s="47"/>
      <c r="I50" s="47">
        <f t="shared" si="23"/>
        <v>0</v>
      </c>
      <c r="J50" s="47">
        <f t="shared" si="24"/>
        <v>0</v>
      </c>
    </row>
    <row r="51" spans="1:13">
      <c r="A51" s="62">
        <v>45101</v>
      </c>
      <c r="B51" s="53" t="s">
        <v>69</v>
      </c>
      <c r="C51" s="47">
        <v>1874000</v>
      </c>
      <c r="D51" s="47"/>
      <c r="E51" s="47">
        <f t="shared" si="21"/>
        <v>1874000</v>
      </c>
      <c r="F51" s="47">
        <f t="shared" si="22"/>
        <v>0</v>
      </c>
      <c r="G51" s="47"/>
      <c r="H51" s="47"/>
      <c r="I51" s="47">
        <f t="shared" si="23"/>
        <v>1874000</v>
      </c>
      <c r="J51" s="47">
        <f t="shared" si="24"/>
        <v>0</v>
      </c>
    </row>
    <row r="52" spans="1:13">
      <c r="A52" s="62">
        <v>46001</v>
      </c>
      <c r="B52" s="53" t="s">
        <v>167</v>
      </c>
      <c r="C52" s="47">
        <v>2800000</v>
      </c>
      <c r="D52" s="47"/>
      <c r="E52" s="47">
        <f t="shared" si="21"/>
        <v>2800000</v>
      </c>
      <c r="F52" s="47">
        <f t="shared" si="22"/>
        <v>0</v>
      </c>
      <c r="G52" s="47"/>
      <c r="H52" s="47"/>
      <c r="I52" s="47">
        <f t="shared" si="23"/>
        <v>2800000</v>
      </c>
      <c r="J52" s="47">
        <f t="shared" si="24"/>
        <v>0</v>
      </c>
    </row>
    <row r="53" spans="1:13" hidden="1">
      <c r="A53" s="62">
        <v>47141</v>
      </c>
      <c r="B53" s="53" t="s">
        <v>79</v>
      </c>
      <c r="C53" s="47"/>
      <c r="D53" s="47"/>
      <c r="E53" s="47">
        <f t="shared" si="21"/>
        <v>0</v>
      </c>
      <c r="F53" s="47">
        <f t="shared" si="22"/>
        <v>0</v>
      </c>
      <c r="G53" s="47"/>
      <c r="H53" s="47"/>
      <c r="I53" s="47">
        <f t="shared" si="23"/>
        <v>0</v>
      </c>
      <c r="J53" s="47">
        <f t="shared" si="24"/>
        <v>0</v>
      </c>
    </row>
    <row r="54" spans="1:13" hidden="1">
      <c r="A54" s="62">
        <v>47151</v>
      </c>
      <c r="B54" s="53" t="s">
        <v>82</v>
      </c>
      <c r="C54" s="47"/>
      <c r="D54" s="47"/>
      <c r="E54" s="47">
        <f t="shared" si="21"/>
        <v>0</v>
      </c>
      <c r="F54" s="47">
        <f t="shared" si="22"/>
        <v>0</v>
      </c>
      <c r="G54" s="47"/>
      <c r="H54" s="47"/>
      <c r="I54" s="47">
        <f t="shared" si="23"/>
        <v>0</v>
      </c>
      <c r="J54" s="47">
        <f t="shared" si="24"/>
        <v>0</v>
      </c>
    </row>
    <row r="55" spans="1:13" hidden="1">
      <c r="A55" s="62">
        <v>47152</v>
      </c>
      <c r="B55" s="53" t="s">
        <v>18</v>
      </c>
      <c r="C55" s="47"/>
      <c r="D55" s="47"/>
      <c r="E55" s="47">
        <f t="shared" si="21"/>
        <v>0</v>
      </c>
      <c r="F55" s="47">
        <f t="shared" si="22"/>
        <v>0</v>
      </c>
      <c r="G55" s="47"/>
      <c r="H55" s="47"/>
      <c r="I55" s="47">
        <f t="shared" si="23"/>
        <v>0</v>
      </c>
      <c r="J55" s="47">
        <f t="shared" si="24"/>
        <v>0</v>
      </c>
    </row>
    <row r="56" spans="1:13" hidden="1">
      <c r="A56" s="62">
        <v>48001</v>
      </c>
      <c r="B56" s="53" t="s">
        <v>83</v>
      </c>
      <c r="C56" s="47"/>
      <c r="D56" s="47"/>
      <c r="E56" s="47">
        <f t="shared" si="21"/>
        <v>0</v>
      </c>
      <c r="F56" s="47">
        <f t="shared" si="22"/>
        <v>0</v>
      </c>
      <c r="G56" s="47"/>
      <c r="H56" s="47"/>
      <c r="I56" s="47">
        <f t="shared" si="23"/>
        <v>0</v>
      </c>
      <c r="J56" s="47">
        <f t="shared" si="24"/>
        <v>0</v>
      </c>
      <c r="M56" s="5"/>
    </row>
    <row r="57" spans="1:13" hidden="1">
      <c r="A57" s="62">
        <v>48101</v>
      </c>
      <c r="B57" s="53" t="s">
        <v>93</v>
      </c>
      <c r="C57" s="47"/>
      <c r="D57" s="47"/>
      <c r="E57" s="47">
        <f t="shared" si="21"/>
        <v>0</v>
      </c>
      <c r="F57" s="47">
        <f t="shared" si="22"/>
        <v>0</v>
      </c>
      <c r="G57" s="47"/>
      <c r="H57" s="47"/>
      <c r="I57" s="47">
        <f t="shared" si="23"/>
        <v>0</v>
      </c>
      <c r="J57" s="47">
        <f t="shared" si="24"/>
        <v>0</v>
      </c>
      <c r="M57" s="5"/>
    </row>
    <row r="58" spans="1:13" hidden="1">
      <c r="A58" s="62">
        <v>48150</v>
      </c>
      <c r="B58" s="53" t="s">
        <v>87</v>
      </c>
      <c r="C58" s="47"/>
      <c r="D58" s="47"/>
      <c r="E58" s="47">
        <f t="shared" si="21"/>
        <v>0</v>
      </c>
      <c r="F58" s="47">
        <f t="shared" si="22"/>
        <v>0</v>
      </c>
      <c r="G58" s="47"/>
      <c r="H58" s="47"/>
      <c r="I58" s="47">
        <f t="shared" si="23"/>
        <v>0</v>
      </c>
      <c r="J58" s="47">
        <f t="shared" si="24"/>
        <v>0</v>
      </c>
      <c r="M58" s="5"/>
    </row>
    <row r="59" spans="1:13" hidden="1">
      <c r="A59" s="62">
        <v>49001</v>
      </c>
      <c r="B59" s="53" t="s">
        <v>85</v>
      </c>
      <c r="C59" s="47"/>
      <c r="D59" s="47"/>
      <c r="E59" s="47">
        <f t="shared" si="21"/>
        <v>0</v>
      </c>
      <c r="F59" s="47">
        <f t="shared" si="22"/>
        <v>0</v>
      </c>
      <c r="G59" s="47"/>
      <c r="H59" s="47"/>
      <c r="I59" s="47">
        <f t="shared" si="23"/>
        <v>0</v>
      </c>
      <c r="J59" s="47">
        <f t="shared" si="24"/>
        <v>0</v>
      </c>
    </row>
    <row r="60" spans="1:13" hidden="1">
      <c r="A60" s="62">
        <v>49101</v>
      </c>
      <c r="B60" s="53" t="s">
        <v>86</v>
      </c>
      <c r="C60" s="47"/>
      <c r="D60" s="47"/>
      <c r="E60" s="47">
        <f t="shared" si="21"/>
        <v>0</v>
      </c>
      <c r="F60" s="47">
        <f t="shared" si="22"/>
        <v>0</v>
      </c>
      <c r="G60" s="47"/>
      <c r="H60" s="47"/>
      <c r="I60" s="47">
        <f t="shared" si="23"/>
        <v>0</v>
      </c>
      <c r="J60" s="47">
        <f t="shared" si="24"/>
        <v>0</v>
      </c>
    </row>
    <row r="61" spans="1:13" hidden="1">
      <c r="A61" s="62">
        <v>49120</v>
      </c>
      <c r="B61" s="53" t="s">
        <v>90</v>
      </c>
      <c r="C61" s="47"/>
      <c r="D61" s="47"/>
      <c r="E61" s="47">
        <f t="shared" si="21"/>
        <v>0</v>
      </c>
      <c r="F61" s="47">
        <f t="shared" si="22"/>
        <v>0</v>
      </c>
      <c r="G61" s="47"/>
      <c r="H61" s="47"/>
      <c r="I61" s="47">
        <f t="shared" si="23"/>
        <v>0</v>
      </c>
      <c r="J61" s="47">
        <f t="shared" si="24"/>
        <v>0</v>
      </c>
    </row>
    <row r="62" spans="1:13">
      <c r="A62" s="62">
        <v>50001</v>
      </c>
      <c r="B62" s="53" t="s">
        <v>70</v>
      </c>
      <c r="C62" s="47"/>
      <c r="D62" s="47">
        <v>748000</v>
      </c>
      <c r="E62" s="47">
        <f t="shared" si="21"/>
        <v>0</v>
      </c>
      <c r="F62" s="47">
        <f t="shared" si="22"/>
        <v>748000</v>
      </c>
      <c r="G62" s="47"/>
      <c r="H62" s="47"/>
      <c r="I62" s="47">
        <f t="shared" si="23"/>
        <v>0</v>
      </c>
      <c r="J62" s="47">
        <f t="shared" si="24"/>
        <v>748000</v>
      </c>
    </row>
    <row r="63" spans="1:13" hidden="1">
      <c r="A63" s="62">
        <v>50051</v>
      </c>
      <c r="B63" s="53" t="s">
        <v>78</v>
      </c>
      <c r="C63" s="47"/>
      <c r="D63" s="47"/>
      <c r="E63" s="47">
        <f t="shared" si="21"/>
        <v>0</v>
      </c>
      <c r="F63" s="47">
        <f t="shared" si="22"/>
        <v>0</v>
      </c>
      <c r="G63" s="47"/>
      <c r="H63" s="47"/>
      <c r="I63" s="47">
        <f t="shared" si="23"/>
        <v>0</v>
      </c>
      <c r="J63" s="47">
        <f t="shared" si="24"/>
        <v>0</v>
      </c>
    </row>
    <row r="64" spans="1:13">
      <c r="A64" s="62">
        <v>51001</v>
      </c>
      <c r="B64" s="53" t="s">
        <v>71</v>
      </c>
      <c r="C64" s="47"/>
      <c r="D64" s="47">
        <v>1000000000</v>
      </c>
      <c r="E64" s="47">
        <f t="shared" si="21"/>
        <v>0</v>
      </c>
      <c r="F64" s="47">
        <f t="shared" si="22"/>
        <v>1000000000</v>
      </c>
      <c r="G64" s="47"/>
      <c r="H64" s="47"/>
      <c r="I64" s="47">
        <f t="shared" si="23"/>
        <v>0</v>
      </c>
      <c r="J64" s="47">
        <f t="shared" si="24"/>
        <v>1000000000</v>
      </c>
    </row>
    <row r="65" spans="1:10" ht="15.75">
      <c r="A65" s="59"/>
      <c r="B65" s="55"/>
      <c r="C65" s="56">
        <f>SUM(C5:C64)</f>
        <v>3111191200</v>
      </c>
      <c r="D65" s="56">
        <f>SUM(D5:D64)</f>
        <v>3111191200</v>
      </c>
      <c r="E65" s="56">
        <f>SUM(E5:E64)</f>
        <v>1796655800</v>
      </c>
      <c r="F65" s="56">
        <f>SUM(F5:F64)</f>
        <v>1796655800</v>
      </c>
      <c r="G65" s="56">
        <f>SUM(G5:G64)</f>
        <v>1722726800</v>
      </c>
      <c r="H65" s="56">
        <f>SUM(H5:H64)</f>
        <v>795907800</v>
      </c>
      <c r="I65" s="56">
        <f>SUM(I5:I64)</f>
        <v>73929000</v>
      </c>
      <c r="J65" s="56">
        <f>SUM(J5:J64)</f>
        <v>1000748000</v>
      </c>
    </row>
    <row r="66" spans="1:10" ht="15.75">
      <c r="A66" s="60"/>
      <c r="B66" s="57" t="s">
        <v>197</v>
      </c>
      <c r="C66" s="56"/>
      <c r="D66" s="56"/>
      <c r="E66" s="56"/>
      <c r="F66" s="56"/>
      <c r="G66" s="56"/>
      <c r="H66" s="56">
        <f>+G65-H65</f>
        <v>926819000</v>
      </c>
      <c r="I66" s="56">
        <f>+J65-I65</f>
        <v>926819000</v>
      </c>
      <c r="J66" s="56"/>
    </row>
    <row r="67" spans="1:10">
      <c r="A67" s="60"/>
      <c r="B67" s="53" t="s">
        <v>0</v>
      </c>
      <c r="C67" s="54">
        <f>+C65+C66</f>
        <v>3111191200</v>
      </c>
      <c r="D67" s="54">
        <f t="shared" ref="D67:J67" si="25">+D65+D66</f>
        <v>3111191200</v>
      </c>
      <c r="E67" s="54">
        <f t="shared" si="25"/>
        <v>1796655800</v>
      </c>
      <c r="F67" s="54">
        <f t="shared" si="25"/>
        <v>1796655800</v>
      </c>
      <c r="G67" s="54">
        <f t="shared" si="25"/>
        <v>1722726800</v>
      </c>
      <c r="H67" s="54">
        <f t="shared" si="25"/>
        <v>1722726800</v>
      </c>
      <c r="I67" s="54">
        <f t="shared" si="25"/>
        <v>1000748000</v>
      </c>
      <c r="J67" s="54">
        <f t="shared" si="25"/>
        <v>1000748000</v>
      </c>
    </row>
    <row r="68" spans="1:10">
      <c r="D68" s="5">
        <f>+C67-D67</f>
        <v>0</v>
      </c>
      <c r="E68" s="5"/>
      <c r="F68" s="5">
        <f t="shared" ref="F68" si="26">+E67-F67</f>
        <v>0</v>
      </c>
      <c r="G68" s="5"/>
      <c r="H68" s="5"/>
      <c r="I68" s="5"/>
      <c r="J68" s="5"/>
    </row>
  </sheetData>
  <pageMargins left="0.75" right="0.75" top="1" bottom="1" header="0.5" footer="0.5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E2:I51"/>
  <sheetViews>
    <sheetView topLeftCell="A4" workbookViewId="0">
      <selection activeCell="F41" sqref="F41"/>
    </sheetView>
  </sheetViews>
  <sheetFormatPr baseColWidth="10" defaultRowHeight="15"/>
  <cols>
    <col min="1" max="4" width="11.42578125" style="173"/>
    <col min="5" max="5" width="78.5703125" style="173" customWidth="1"/>
    <col min="6" max="6" width="19.140625" style="173" customWidth="1"/>
    <col min="7" max="7" width="11.42578125" style="173"/>
    <col min="8" max="8" width="12.7109375" style="173" bestFit="1" customWidth="1"/>
    <col min="9" max="9" width="11.85546875" style="173" bestFit="1" customWidth="1"/>
    <col min="10" max="252" width="11.42578125" style="173"/>
    <col min="253" max="253" width="1.42578125" style="173" customWidth="1"/>
    <col min="254" max="254" width="121" style="173" customWidth="1"/>
    <col min="255" max="257" width="11.85546875" style="173" bestFit="1" customWidth="1"/>
    <col min="258" max="508" width="11.42578125" style="173"/>
    <col min="509" max="509" width="1.42578125" style="173" customWidth="1"/>
    <col min="510" max="510" width="121" style="173" customWidth="1"/>
    <col min="511" max="513" width="11.85546875" style="173" bestFit="1" customWidth="1"/>
    <col min="514" max="764" width="11.42578125" style="173"/>
    <col min="765" max="765" width="1.42578125" style="173" customWidth="1"/>
    <col min="766" max="766" width="121" style="173" customWidth="1"/>
    <col min="767" max="769" width="11.85546875" style="173" bestFit="1" customWidth="1"/>
    <col min="770" max="1020" width="11.42578125" style="173"/>
    <col min="1021" max="1021" width="1.42578125" style="173" customWidth="1"/>
    <col min="1022" max="1022" width="121" style="173" customWidth="1"/>
    <col min="1023" max="1025" width="11.85546875" style="173" bestFit="1" customWidth="1"/>
    <col min="1026" max="1276" width="11.42578125" style="173"/>
    <col min="1277" max="1277" width="1.42578125" style="173" customWidth="1"/>
    <col min="1278" max="1278" width="121" style="173" customWidth="1"/>
    <col min="1279" max="1281" width="11.85546875" style="173" bestFit="1" customWidth="1"/>
    <col min="1282" max="1532" width="11.42578125" style="173"/>
    <col min="1533" max="1533" width="1.42578125" style="173" customWidth="1"/>
    <col min="1534" max="1534" width="121" style="173" customWidth="1"/>
    <col min="1535" max="1537" width="11.85546875" style="173" bestFit="1" customWidth="1"/>
    <col min="1538" max="1788" width="11.42578125" style="173"/>
    <col min="1789" max="1789" width="1.42578125" style="173" customWidth="1"/>
    <col min="1790" max="1790" width="121" style="173" customWidth="1"/>
    <col min="1791" max="1793" width="11.85546875" style="173" bestFit="1" customWidth="1"/>
    <col min="1794" max="2044" width="11.42578125" style="173"/>
    <col min="2045" max="2045" width="1.42578125" style="173" customWidth="1"/>
    <col min="2046" max="2046" width="121" style="173" customWidth="1"/>
    <col min="2047" max="2049" width="11.85546875" style="173" bestFit="1" customWidth="1"/>
    <col min="2050" max="2300" width="11.42578125" style="173"/>
    <col min="2301" max="2301" width="1.42578125" style="173" customWidth="1"/>
    <col min="2302" max="2302" width="121" style="173" customWidth="1"/>
    <col min="2303" max="2305" width="11.85546875" style="173" bestFit="1" customWidth="1"/>
    <col min="2306" max="2556" width="11.42578125" style="173"/>
    <col min="2557" max="2557" width="1.42578125" style="173" customWidth="1"/>
    <col min="2558" max="2558" width="121" style="173" customWidth="1"/>
    <col min="2559" max="2561" width="11.85546875" style="173" bestFit="1" customWidth="1"/>
    <col min="2562" max="2812" width="11.42578125" style="173"/>
    <col min="2813" max="2813" width="1.42578125" style="173" customWidth="1"/>
    <col min="2814" max="2814" width="121" style="173" customWidth="1"/>
    <col min="2815" max="2817" width="11.85546875" style="173" bestFit="1" customWidth="1"/>
    <col min="2818" max="3068" width="11.42578125" style="173"/>
    <col min="3069" max="3069" width="1.42578125" style="173" customWidth="1"/>
    <col min="3070" max="3070" width="121" style="173" customWidth="1"/>
    <col min="3071" max="3073" width="11.85546875" style="173" bestFit="1" customWidth="1"/>
    <col min="3074" max="3324" width="11.42578125" style="173"/>
    <col min="3325" max="3325" width="1.42578125" style="173" customWidth="1"/>
    <col min="3326" max="3326" width="121" style="173" customWidth="1"/>
    <col min="3327" max="3329" width="11.85546875" style="173" bestFit="1" customWidth="1"/>
    <col min="3330" max="3580" width="11.42578125" style="173"/>
    <col min="3581" max="3581" width="1.42578125" style="173" customWidth="1"/>
    <col min="3582" max="3582" width="121" style="173" customWidth="1"/>
    <col min="3583" max="3585" width="11.85546875" style="173" bestFit="1" customWidth="1"/>
    <col min="3586" max="3836" width="11.42578125" style="173"/>
    <col min="3837" max="3837" width="1.42578125" style="173" customWidth="1"/>
    <col min="3838" max="3838" width="121" style="173" customWidth="1"/>
    <col min="3839" max="3841" width="11.85546875" style="173" bestFit="1" customWidth="1"/>
    <col min="3842" max="4092" width="11.42578125" style="173"/>
    <col min="4093" max="4093" width="1.42578125" style="173" customWidth="1"/>
    <col min="4094" max="4094" width="121" style="173" customWidth="1"/>
    <col min="4095" max="4097" width="11.85546875" style="173" bestFit="1" customWidth="1"/>
    <col min="4098" max="4348" width="11.42578125" style="173"/>
    <col min="4349" max="4349" width="1.42578125" style="173" customWidth="1"/>
    <col min="4350" max="4350" width="121" style="173" customWidth="1"/>
    <col min="4351" max="4353" width="11.85546875" style="173" bestFit="1" customWidth="1"/>
    <col min="4354" max="4604" width="11.42578125" style="173"/>
    <col min="4605" max="4605" width="1.42578125" style="173" customWidth="1"/>
    <col min="4606" max="4606" width="121" style="173" customWidth="1"/>
    <col min="4607" max="4609" width="11.85546875" style="173" bestFit="1" customWidth="1"/>
    <col min="4610" max="4860" width="11.42578125" style="173"/>
    <col min="4861" max="4861" width="1.42578125" style="173" customWidth="1"/>
    <col min="4862" max="4862" width="121" style="173" customWidth="1"/>
    <col min="4863" max="4865" width="11.85546875" style="173" bestFit="1" customWidth="1"/>
    <col min="4866" max="5116" width="11.42578125" style="173"/>
    <col min="5117" max="5117" width="1.42578125" style="173" customWidth="1"/>
    <col min="5118" max="5118" width="121" style="173" customWidth="1"/>
    <col min="5119" max="5121" width="11.85546875" style="173" bestFit="1" customWidth="1"/>
    <col min="5122" max="5372" width="11.42578125" style="173"/>
    <col min="5373" max="5373" width="1.42578125" style="173" customWidth="1"/>
    <col min="5374" max="5374" width="121" style="173" customWidth="1"/>
    <col min="5375" max="5377" width="11.85546875" style="173" bestFit="1" customWidth="1"/>
    <col min="5378" max="5628" width="11.42578125" style="173"/>
    <col min="5629" max="5629" width="1.42578125" style="173" customWidth="1"/>
    <col min="5630" max="5630" width="121" style="173" customWidth="1"/>
    <col min="5631" max="5633" width="11.85546875" style="173" bestFit="1" customWidth="1"/>
    <col min="5634" max="5884" width="11.42578125" style="173"/>
    <col min="5885" max="5885" width="1.42578125" style="173" customWidth="1"/>
    <col min="5886" max="5886" width="121" style="173" customWidth="1"/>
    <col min="5887" max="5889" width="11.85546875" style="173" bestFit="1" customWidth="1"/>
    <col min="5890" max="6140" width="11.42578125" style="173"/>
    <col min="6141" max="6141" width="1.42578125" style="173" customWidth="1"/>
    <col min="6142" max="6142" width="121" style="173" customWidth="1"/>
    <col min="6143" max="6145" width="11.85546875" style="173" bestFit="1" customWidth="1"/>
    <col min="6146" max="6396" width="11.42578125" style="173"/>
    <col min="6397" max="6397" width="1.42578125" style="173" customWidth="1"/>
    <col min="6398" max="6398" width="121" style="173" customWidth="1"/>
    <col min="6399" max="6401" width="11.85546875" style="173" bestFit="1" customWidth="1"/>
    <col min="6402" max="6652" width="11.42578125" style="173"/>
    <col min="6653" max="6653" width="1.42578125" style="173" customWidth="1"/>
    <col min="6654" max="6654" width="121" style="173" customWidth="1"/>
    <col min="6655" max="6657" width="11.85546875" style="173" bestFit="1" customWidth="1"/>
    <col min="6658" max="6908" width="11.42578125" style="173"/>
    <col min="6909" max="6909" width="1.42578125" style="173" customWidth="1"/>
    <col min="6910" max="6910" width="121" style="173" customWidth="1"/>
    <col min="6911" max="6913" width="11.85546875" style="173" bestFit="1" customWidth="1"/>
    <col min="6914" max="7164" width="11.42578125" style="173"/>
    <col min="7165" max="7165" width="1.42578125" style="173" customWidth="1"/>
    <col min="7166" max="7166" width="121" style="173" customWidth="1"/>
    <col min="7167" max="7169" width="11.85546875" style="173" bestFit="1" customWidth="1"/>
    <col min="7170" max="7420" width="11.42578125" style="173"/>
    <col min="7421" max="7421" width="1.42578125" style="173" customWidth="1"/>
    <col min="7422" max="7422" width="121" style="173" customWidth="1"/>
    <col min="7423" max="7425" width="11.85546875" style="173" bestFit="1" customWidth="1"/>
    <col min="7426" max="7676" width="11.42578125" style="173"/>
    <col min="7677" max="7677" width="1.42578125" style="173" customWidth="1"/>
    <col min="7678" max="7678" width="121" style="173" customWidth="1"/>
    <col min="7679" max="7681" width="11.85546875" style="173" bestFit="1" customWidth="1"/>
    <col min="7682" max="7932" width="11.42578125" style="173"/>
    <col min="7933" max="7933" width="1.42578125" style="173" customWidth="1"/>
    <col min="7934" max="7934" width="121" style="173" customWidth="1"/>
    <col min="7935" max="7937" width="11.85546875" style="173" bestFit="1" customWidth="1"/>
    <col min="7938" max="8188" width="11.42578125" style="173"/>
    <col min="8189" max="8189" width="1.42578125" style="173" customWidth="1"/>
    <col min="8190" max="8190" width="121" style="173" customWidth="1"/>
    <col min="8191" max="8193" width="11.85546875" style="173" bestFit="1" customWidth="1"/>
    <col min="8194" max="8444" width="11.42578125" style="173"/>
    <col min="8445" max="8445" width="1.42578125" style="173" customWidth="1"/>
    <col min="8446" max="8446" width="121" style="173" customWidth="1"/>
    <col min="8447" max="8449" width="11.85546875" style="173" bestFit="1" customWidth="1"/>
    <col min="8450" max="8700" width="11.42578125" style="173"/>
    <col min="8701" max="8701" width="1.42578125" style="173" customWidth="1"/>
    <col min="8702" max="8702" width="121" style="173" customWidth="1"/>
    <col min="8703" max="8705" width="11.85546875" style="173" bestFit="1" customWidth="1"/>
    <col min="8706" max="8956" width="11.42578125" style="173"/>
    <col min="8957" max="8957" width="1.42578125" style="173" customWidth="1"/>
    <col min="8958" max="8958" width="121" style="173" customWidth="1"/>
    <col min="8959" max="8961" width="11.85546875" style="173" bestFit="1" customWidth="1"/>
    <col min="8962" max="9212" width="11.42578125" style="173"/>
    <col min="9213" max="9213" width="1.42578125" style="173" customWidth="1"/>
    <col min="9214" max="9214" width="121" style="173" customWidth="1"/>
    <col min="9215" max="9217" width="11.85546875" style="173" bestFit="1" customWidth="1"/>
    <col min="9218" max="9468" width="11.42578125" style="173"/>
    <col min="9469" max="9469" width="1.42578125" style="173" customWidth="1"/>
    <col min="9470" max="9470" width="121" style="173" customWidth="1"/>
    <col min="9471" max="9473" width="11.85546875" style="173" bestFit="1" customWidth="1"/>
    <col min="9474" max="9724" width="11.42578125" style="173"/>
    <col min="9725" max="9725" width="1.42578125" style="173" customWidth="1"/>
    <col min="9726" max="9726" width="121" style="173" customWidth="1"/>
    <col min="9727" max="9729" width="11.85546875" style="173" bestFit="1" customWidth="1"/>
    <col min="9730" max="9980" width="11.42578125" style="173"/>
    <col min="9981" max="9981" width="1.42578125" style="173" customWidth="1"/>
    <col min="9982" max="9982" width="121" style="173" customWidth="1"/>
    <col min="9983" max="9985" width="11.85546875" style="173" bestFit="1" customWidth="1"/>
    <col min="9986" max="10236" width="11.42578125" style="173"/>
    <col min="10237" max="10237" width="1.42578125" style="173" customWidth="1"/>
    <col min="10238" max="10238" width="121" style="173" customWidth="1"/>
    <col min="10239" max="10241" width="11.85546875" style="173" bestFit="1" customWidth="1"/>
    <col min="10242" max="10492" width="11.42578125" style="173"/>
    <col min="10493" max="10493" width="1.42578125" style="173" customWidth="1"/>
    <col min="10494" max="10494" width="121" style="173" customWidth="1"/>
    <col min="10495" max="10497" width="11.85546875" style="173" bestFit="1" customWidth="1"/>
    <col min="10498" max="10748" width="11.42578125" style="173"/>
    <col min="10749" max="10749" width="1.42578125" style="173" customWidth="1"/>
    <col min="10750" max="10750" width="121" style="173" customWidth="1"/>
    <col min="10751" max="10753" width="11.85546875" style="173" bestFit="1" customWidth="1"/>
    <col min="10754" max="11004" width="11.42578125" style="173"/>
    <col min="11005" max="11005" width="1.42578125" style="173" customWidth="1"/>
    <col min="11006" max="11006" width="121" style="173" customWidth="1"/>
    <col min="11007" max="11009" width="11.85546875" style="173" bestFit="1" customWidth="1"/>
    <col min="11010" max="11260" width="11.42578125" style="173"/>
    <col min="11261" max="11261" width="1.42578125" style="173" customWidth="1"/>
    <col min="11262" max="11262" width="121" style="173" customWidth="1"/>
    <col min="11263" max="11265" width="11.85546875" style="173" bestFit="1" customWidth="1"/>
    <col min="11266" max="11516" width="11.42578125" style="173"/>
    <col min="11517" max="11517" width="1.42578125" style="173" customWidth="1"/>
    <col min="11518" max="11518" width="121" style="173" customWidth="1"/>
    <col min="11519" max="11521" width="11.85546875" style="173" bestFit="1" customWidth="1"/>
    <col min="11522" max="11772" width="11.42578125" style="173"/>
    <col min="11773" max="11773" width="1.42578125" style="173" customWidth="1"/>
    <col min="11774" max="11774" width="121" style="173" customWidth="1"/>
    <col min="11775" max="11777" width="11.85546875" style="173" bestFit="1" customWidth="1"/>
    <col min="11778" max="12028" width="11.42578125" style="173"/>
    <col min="12029" max="12029" width="1.42578125" style="173" customWidth="1"/>
    <col min="12030" max="12030" width="121" style="173" customWidth="1"/>
    <col min="12031" max="12033" width="11.85546875" style="173" bestFit="1" customWidth="1"/>
    <col min="12034" max="12284" width="11.42578125" style="173"/>
    <col min="12285" max="12285" width="1.42578125" style="173" customWidth="1"/>
    <col min="12286" max="12286" width="121" style="173" customWidth="1"/>
    <col min="12287" max="12289" width="11.85546875" style="173" bestFit="1" customWidth="1"/>
    <col min="12290" max="12540" width="11.42578125" style="173"/>
    <col min="12541" max="12541" width="1.42578125" style="173" customWidth="1"/>
    <col min="12542" max="12542" width="121" style="173" customWidth="1"/>
    <col min="12543" max="12545" width="11.85546875" style="173" bestFit="1" customWidth="1"/>
    <col min="12546" max="12796" width="11.42578125" style="173"/>
    <col min="12797" max="12797" width="1.42578125" style="173" customWidth="1"/>
    <col min="12798" max="12798" width="121" style="173" customWidth="1"/>
    <col min="12799" max="12801" width="11.85546875" style="173" bestFit="1" customWidth="1"/>
    <col min="12802" max="13052" width="11.42578125" style="173"/>
    <col min="13053" max="13053" width="1.42578125" style="173" customWidth="1"/>
    <col min="13054" max="13054" width="121" style="173" customWidth="1"/>
    <col min="13055" max="13057" width="11.85546875" style="173" bestFit="1" customWidth="1"/>
    <col min="13058" max="13308" width="11.42578125" style="173"/>
    <col min="13309" max="13309" width="1.42578125" style="173" customWidth="1"/>
    <col min="13310" max="13310" width="121" style="173" customWidth="1"/>
    <col min="13311" max="13313" width="11.85546875" style="173" bestFit="1" customWidth="1"/>
    <col min="13314" max="13564" width="11.42578125" style="173"/>
    <col min="13565" max="13565" width="1.42578125" style="173" customWidth="1"/>
    <col min="13566" max="13566" width="121" style="173" customWidth="1"/>
    <col min="13567" max="13569" width="11.85546875" style="173" bestFit="1" customWidth="1"/>
    <col min="13570" max="13820" width="11.42578125" style="173"/>
    <col min="13821" max="13821" width="1.42578125" style="173" customWidth="1"/>
    <col min="13822" max="13822" width="121" style="173" customWidth="1"/>
    <col min="13823" max="13825" width="11.85546875" style="173" bestFit="1" customWidth="1"/>
    <col min="13826" max="14076" width="11.42578125" style="173"/>
    <col min="14077" max="14077" width="1.42578125" style="173" customWidth="1"/>
    <col min="14078" max="14078" width="121" style="173" customWidth="1"/>
    <col min="14079" max="14081" width="11.85546875" style="173" bestFit="1" customWidth="1"/>
    <col min="14082" max="14332" width="11.42578125" style="173"/>
    <col min="14333" max="14333" width="1.42578125" style="173" customWidth="1"/>
    <col min="14334" max="14334" width="121" style="173" customWidth="1"/>
    <col min="14335" max="14337" width="11.85546875" style="173" bestFit="1" customWidth="1"/>
    <col min="14338" max="14588" width="11.42578125" style="173"/>
    <col min="14589" max="14589" width="1.42578125" style="173" customWidth="1"/>
    <col min="14590" max="14590" width="121" style="173" customWidth="1"/>
    <col min="14591" max="14593" width="11.85546875" style="173" bestFit="1" customWidth="1"/>
    <col min="14594" max="14844" width="11.42578125" style="173"/>
    <col min="14845" max="14845" width="1.42578125" style="173" customWidth="1"/>
    <col min="14846" max="14846" width="121" style="173" customWidth="1"/>
    <col min="14847" max="14849" width="11.85546875" style="173" bestFit="1" customWidth="1"/>
    <col min="14850" max="15100" width="11.42578125" style="173"/>
    <col min="15101" max="15101" width="1.42578125" style="173" customWidth="1"/>
    <col min="15102" max="15102" width="121" style="173" customWidth="1"/>
    <col min="15103" max="15105" width="11.85546875" style="173" bestFit="1" customWidth="1"/>
    <col min="15106" max="15356" width="11.42578125" style="173"/>
    <col min="15357" max="15357" width="1.42578125" style="173" customWidth="1"/>
    <col min="15358" max="15358" width="121" style="173" customWidth="1"/>
    <col min="15359" max="15361" width="11.85546875" style="173" bestFit="1" customWidth="1"/>
    <col min="15362" max="15612" width="11.42578125" style="173"/>
    <col min="15613" max="15613" width="1.42578125" style="173" customWidth="1"/>
    <col min="15614" max="15614" width="121" style="173" customWidth="1"/>
    <col min="15615" max="15617" width="11.85546875" style="173" bestFit="1" customWidth="1"/>
    <col min="15618" max="15868" width="11.42578125" style="173"/>
    <col min="15869" max="15869" width="1.42578125" style="173" customWidth="1"/>
    <col min="15870" max="15870" width="121" style="173" customWidth="1"/>
    <col min="15871" max="15873" width="11.85546875" style="173" bestFit="1" customWidth="1"/>
    <col min="15874" max="16124" width="11.42578125" style="173"/>
    <col min="16125" max="16125" width="1.42578125" style="173" customWidth="1"/>
    <col min="16126" max="16126" width="121" style="173" customWidth="1"/>
    <col min="16127" max="16129" width="11.85546875" style="173" bestFit="1" customWidth="1"/>
    <col min="16130" max="16384" width="11.42578125" style="173"/>
  </cols>
  <sheetData>
    <row r="2" spans="5:8" ht="15.75" thickBot="1"/>
    <row r="3" spans="5:8" ht="15.75" thickBot="1">
      <c r="E3" s="174" t="s">
        <v>236</v>
      </c>
      <c r="F3" s="175" t="s">
        <v>369</v>
      </c>
    </row>
    <row r="4" spans="5:8">
      <c r="E4" s="174" t="s">
        <v>376</v>
      </c>
      <c r="F4" s="176"/>
    </row>
    <row r="5" spans="5:8">
      <c r="E5" s="177" t="s">
        <v>237</v>
      </c>
      <c r="F5" s="178"/>
    </row>
    <row r="6" spans="5:8">
      <c r="E6" s="179" t="s">
        <v>21</v>
      </c>
      <c r="F6" s="180"/>
    </row>
    <row r="7" spans="5:8">
      <c r="E7" s="181" t="s">
        <v>22</v>
      </c>
      <c r="F7" s="180"/>
    </row>
    <row r="8" spans="5:8">
      <c r="E8" s="182" t="s">
        <v>238</v>
      </c>
      <c r="F8" s="183">
        <f>+'balance 2023 '!G5+'balance 2023 '!G6+'balance 2023 '!G7</f>
        <v>353878669.88901103</v>
      </c>
    </row>
    <row r="9" spans="5:8">
      <c r="E9" s="182" t="s">
        <v>239</v>
      </c>
      <c r="F9" s="183">
        <f>+'balance 2023 '!G12</f>
        <v>560224.08963585435</v>
      </c>
      <c r="H9" s="184"/>
    </row>
    <row r="10" spans="5:8">
      <c r="E10" s="182" t="s">
        <v>240</v>
      </c>
      <c r="F10" s="183">
        <f>+'balance 2023 '!G9-'balance 2023 '!H10-'balance 2023 '!H34</f>
        <v>145152500</v>
      </c>
    </row>
    <row r="11" spans="5:8">
      <c r="E11" s="182" t="s">
        <v>241</v>
      </c>
      <c r="F11" s="183"/>
      <c r="H11" s="184">
        <f>+F11-F28</f>
        <v>0</v>
      </c>
    </row>
    <row r="12" spans="5:8">
      <c r="E12" s="182" t="s">
        <v>242</v>
      </c>
      <c r="F12" s="183">
        <f>+'balance 2023 '!G11</f>
        <v>66700000</v>
      </c>
    </row>
    <row r="13" spans="5:8">
      <c r="E13" s="182" t="s">
        <v>243</v>
      </c>
      <c r="F13" s="183">
        <f>+'balance 2023 '!G13+'balance 2023 '!G14</f>
        <v>28379327.731092438</v>
      </c>
    </row>
    <row r="14" spans="5:8">
      <c r="E14" s="185" t="s">
        <v>23</v>
      </c>
      <c r="F14" s="186">
        <f>SUM(F8:F13)</f>
        <v>594670721.70973933</v>
      </c>
    </row>
    <row r="15" spans="5:8">
      <c r="E15" s="181" t="s">
        <v>24</v>
      </c>
      <c r="F15" s="180"/>
    </row>
    <row r="16" spans="5:8">
      <c r="E16" s="187" t="s">
        <v>244</v>
      </c>
      <c r="F16" s="183">
        <f>+'balance 2023 '!G17+'balance 2023 '!G18+'balance 2023 '!G19+'balance 2023 '!G20+'balance 2023 '!G21-'balance 2023 '!H24-'balance 2023 '!H23</f>
        <v>701571428.57142866</v>
      </c>
    </row>
    <row r="17" spans="5:8">
      <c r="E17" s="187" t="s">
        <v>279</v>
      </c>
      <c r="F17" s="183">
        <f>+'balance 2023 '!G16</f>
        <v>21000000</v>
      </c>
    </row>
    <row r="18" spans="5:8">
      <c r="E18" s="187" t="s">
        <v>302</v>
      </c>
      <c r="F18" s="183"/>
    </row>
    <row r="19" spans="5:8">
      <c r="E19" s="187" t="s">
        <v>282</v>
      </c>
      <c r="F19" s="183"/>
    </row>
    <row r="20" spans="5:8">
      <c r="E20" s="185" t="s">
        <v>25</v>
      </c>
      <c r="F20" s="186">
        <f>SUM(F16:F19)</f>
        <v>722571428.57142866</v>
      </c>
    </row>
    <row r="21" spans="5:8">
      <c r="E21" s="188" t="s">
        <v>26</v>
      </c>
      <c r="F21" s="189">
        <f>+F20+F14</f>
        <v>1317242150.281168</v>
      </c>
    </row>
    <row r="22" spans="5:8">
      <c r="E22" s="188"/>
      <c r="F22" s="190"/>
    </row>
    <row r="23" spans="5:8">
      <c r="E23" s="191" t="s">
        <v>245</v>
      </c>
      <c r="F23" s="180"/>
    </row>
    <row r="24" spans="5:8">
      <c r="E24" s="181" t="s">
        <v>27</v>
      </c>
      <c r="F24" s="180"/>
    </row>
    <row r="25" spans="5:8">
      <c r="E25" s="185" t="s">
        <v>28</v>
      </c>
      <c r="F25" s="180"/>
    </row>
    <row r="26" spans="5:8">
      <c r="E26" s="182" t="s">
        <v>246</v>
      </c>
      <c r="F26" s="183">
        <f>+'balance 2023 '!H25+'balance 2023 '!H26</f>
        <v>176732212.44249594</v>
      </c>
    </row>
    <row r="27" spans="5:8">
      <c r="E27" s="182" t="s">
        <v>247</v>
      </c>
      <c r="F27" s="183">
        <f>+'balance 2023 '!H29+'balance 2023 '!H32+'balance 2023 '!H36+'balance 2023 '!H38</f>
        <v>22560000</v>
      </c>
    </row>
    <row r="28" spans="5:8">
      <c r="E28" s="182" t="s">
        <v>248</v>
      </c>
      <c r="F28" s="183"/>
    </row>
    <row r="29" spans="5:8">
      <c r="E29" s="182" t="s">
        <v>249</v>
      </c>
      <c r="F29" s="183">
        <f>+'balance 2023 '!H27+'balance 2023 '!H35</f>
        <v>43091873.599243373</v>
      </c>
    </row>
    <row r="30" spans="5:8">
      <c r="E30" s="185" t="s">
        <v>250</v>
      </c>
      <c r="F30" s="186">
        <f>SUM(F26:F29)</f>
        <v>242384086.04173931</v>
      </c>
    </row>
    <row r="31" spans="5:8">
      <c r="E31" s="185" t="s">
        <v>29</v>
      </c>
      <c r="F31" s="180"/>
    </row>
    <row r="32" spans="5:8">
      <c r="E32" s="182" t="s">
        <v>251</v>
      </c>
      <c r="F32" s="183"/>
      <c r="H32" s="184"/>
    </row>
    <row r="33" spans="5:9">
      <c r="E33" s="182" t="s">
        <v>331</v>
      </c>
      <c r="F33" s="183">
        <f>+'balance 2023 '!H39</f>
        <v>959833.43406590819</v>
      </c>
      <c r="H33" s="184"/>
    </row>
    <row r="34" spans="5:9">
      <c r="E34" s="185" t="s">
        <v>30</v>
      </c>
      <c r="F34" s="186">
        <f>+F33</f>
        <v>959833.43406590819</v>
      </c>
    </row>
    <row r="35" spans="5:9">
      <c r="E35" s="188" t="s">
        <v>252</v>
      </c>
      <c r="F35" s="189">
        <f>+F34+F30</f>
        <v>243343919.47580522</v>
      </c>
    </row>
    <row r="36" spans="5:9">
      <c r="E36" s="181" t="s">
        <v>31</v>
      </c>
      <c r="F36" s="180"/>
    </row>
    <row r="37" spans="5:9">
      <c r="E37" s="187" t="s">
        <v>253</v>
      </c>
      <c r="F37" s="183">
        <f>+'balance 2023 '!H40</f>
        <v>300000000</v>
      </c>
    </row>
    <row r="38" spans="5:9">
      <c r="E38" s="187" t="s">
        <v>280</v>
      </c>
      <c r="F38" s="183">
        <f>-'balance 2023 '!G41</f>
        <v>-30000000</v>
      </c>
    </row>
    <row r="39" spans="5:9">
      <c r="E39" s="187" t="s">
        <v>281</v>
      </c>
      <c r="F39" s="183">
        <f>+'balance 2023 '!H43</f>
        <v>200000000</v>
      </c>
    </row>
    <row r="40" spans="5:9">
      <c r="E40" s="187" t="s">
        <v>254</v>
      </c>
      <c r="F40" s="183">
        <f>+'balance 2023 '!H46+'balance 2023 '!H71</f>
        <v>603898230.80536258</v>
      </c>
    </row>
    <row r="41" spans="5:9">
      <c r="E41" s="185" t="s">
        <v>32</v>
      </c>
      <c r="F41" s="186">
        <f>SUM(F37:F40)</f>
        <v>1073898230.8053627</v>
      </c>
    </row>
    <row r="42" spans="5:9" ht="15.75" thickBot="1">
      <c r="E42" s="192" t="s">
        <v>33</v>
      </c>
      <c r="F42" s="193">
        <f>+F41+F34+F30</f>
        <v>1317242150.2811677</v>
      </c>
      <c r="H42" s="184"/>
      <c r="I42" s="184"/>
    </row>
    <row r="43" spans="5:9">
      <c r="E43" s="194"/>
    </row>
    <row r="44" spans="5:9">
      <c r="E44" s="194"/>
      <c r="F44" s="184">
        <f>+F21-F42</f>
        <v>0</v>
      </c>
    </row>
    <row r="45" spans="5:9">
      <c r="E45" s="194"/>
    </row>
    <row r="46" spans="5:9">
      <c r="E46" s="194"/>
    </row>
    <row r="47" spans="5:9">
      <c r="E47" s="194"/>
    </row>
    <row r="48" spans="5:9">
      <c r="E48" s="194"/>
    </row>
    <row r="49" spans="5:5">
      <c r="E49" s="194"/>
    </row>
    <row r="50" spans="5:5">
      <c r="E50" s="194"/>
    </row>
    <row r="51" spans="5:5">
      <c r="E51" s="194"/>
    </row>
  </sheetData>
  <pageMargins left="0.25" right="0.25" top="0.75" bottom="0.75" header="0.3" footer="0.3"/>
  <pageSetup orientation="portrait" horizontalDpi="4294967293" verticalDpi="300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J26"/>
  <sheetViews>
    <sheetView workbookViewId="0">
      <selection activeCell="F36" sqref="F36"/>
    </sheetView>
  </sheetViews>
  <sheetFormatPr baseColWidth="10" defaultRowHeight="15"/>
  <cols>
    <col min="1" max="4" width="11.42578125" style="173"/>
    <col min="5" max="5" width="3.7109375" style="173" customWidth="1"/>
    <col min="6" max="6" width="69.5703125" style="173" customWidth="1"/>
    <col min="7" max="7" width="15.85546875" style="173" bestFit="1" customWidth="1"/>
    <col min="8" max="9" width="16.85546875" style="173" bestFit="1" customWidth="1"/>
    <col min="10" max="258" width="11.42578125" style="173"/>
    <col min="259" max="259" width="3.7109375" style="173" customWidth="1"/>
    <col min="260" max="260" width="92.140625" style="173" customWidth="1"/>
    <col min="261" max="262" width="11.85546875" style="173" bestFit="1" customWidth="1"/>
    <col min="263" max="514" width="11.42578125" style="173"/>
    <col min="515" max="515" width="3.7109375" style="173" customWidth="1"/>
    <col min="516" max="516" width="92.140625" style="173" customWidth="1"/>
    <col min="517" max="518" width="11.85546875" style="173" bestFit="1" customWidth="1"/>
    <col min="519" max="770" width="11.42578125" style="173"/>
    <col min="771" max="771" width="3.7109375" style="173" customWidth="1"/>
    <col min="772" max="772" width="92.140625" style="173" customWidth="1"/>
    <col min="773" max="774" width="11.85546875" style="173" bestFit="1" customWidth="1"/>
    <col min="775" max="1026" width="11.42578125" style="173"/>
    <col min="1027" max="1027" width="3.7109375" style="173" customWidth="1"/>
    <col min="1028" max="1028" width="92.140625" style="173" customWidth="1"/>
    <col min="1029" max="1030" width="11.85546875" style="173" bestFit="1" customWidth="1"/>
    <col min="1031" max="1282" width="11.42578125" style="173"/>
    <col min="1283" max="1283" width="3.7109375" style="173" customWidth="1"/>
    <col min="1284" max="1284" width="92.140625" style="173" customWidth="1"/>
    <col min="1285" max="1286" width="11.85546875" style="173" bestFit="1" customWidth="1"/>
    <col min="1287" max="1538" width="11.42578125" style="173"/>
    <col min="1539" max="1539" width="3.7109375" style="173" customWidth="1"/>
    <col min="1540" max="1540" width="92.140625" style="173" customWidth="1"/>
    <col min="1541" max="1542" width="11.85546875" style="173" bestFit="1" customWidth="1"/>
    <col min="1543" max="1794" width="11.42578125" style="173"/>
    <col min="1795" max="1795" width="3.7109375" style="173" customWidth="1"/>
    <col min="1796" max="1796" width="92.140625" style="173" customWidth="1"/>
    <col min="1797" max="1798" width="11.85546875" style="173" bestFit="1" customWidth="1"/>
    <col min="1799" max="2050" width="11.42578125" style="173"/>
    <col min="2051" max="2051" width="3.7109375" style="173" customWidth="1"/>
    <col min="2052" max="2052" width="92.140625" style="173" customWidth="1"/>
    <col min="2053" max="2054" width="11.85546875" style="173" bestFit="1" customWidth="1"/>
    <col min="2055" max="2306" width="11.42578125" style="173"/>
    <col min="2307" max="2307" width="3.7109375" style="173" customWidth="1"/>
    <col min="2308" max="2308" width="92.140625" style="173" customWidth="1"/>
    <col min="2309" max="2310" width="11.85546875" style="173" bestFit="1" customWidth="1"/>
    <col min="2311" max="2562" width="11.42578125" style="173"/>
    <col min="2563" max="2563" width="3.7109375" style="173" customWidth="1"/>
    <col min="2564" max="2564" width="92.140625" style="173" customWidth="1"/>
    <col min="2565" max="2566" width="11.85546875" style="173" bestFit="1" customWidth="1"/>
    <col min="2567" max="2818" width="11.42578125" style="173"/>
    <col min="2819" max="2819" width="3.7109375" style="173" customWidth="1"/>
    <col min="2820" max="2820" width="92.140625" style="173" customWidth="1"/>
    <col min="2821" max="2822" width="11.85546875" style="173" bestFit="1" customWidth="1"/>
    <col min="2823" max="3074" width="11.42578125" style="173"/>
    <col min="3075" max="3075" width="3.7109375" style="173" customWidth="1"/>
    <col min="3076" max="3076" width="92.140625" style="173" customWidth="1"/>
    <col min="3077" max="3078" width="11.85546875" style="173" bestFit="1" customWidth="1"/>
    <col min="3079" max="3330" width="11.42578125" style="173"/>
    <col min="3331" max="3331" width="3.7109375" style="173" customWidth="1"/>
    <col min="3332" max="3332" width="92.140625" style="173" customWidth="1"/>
    <col min="3333" max="3334" width="11.85546875" style="173" bestFit="1" customWidth="1"/>
    <col min="3335" max="3586" width="11.42578125" style="173"/>
    <col min="3587" max="3587" width="3.7109375" style="173" customWidth="1"/>
    <col min="3588" max="3588" width="92.140625" style="173" customWidth="1"/>
    <col min="3589" max="3590" width="11.85546875" style="173" bestFit="1" customWidth="1"/>
    <col min="3591" max="3842" width="11.42578125" style="173"/>
    <col min="3843" max="3843" width="3.7109375" style="173" customWidth="1"/>
    <col min="3844" max="3844" width="92.140625" style="173" customWidth="1"/>
    <col min="3845" max="3846" width="11.85546875" style="173" bestFit="1" customWidth="1"/>
    <col min="3847" max="4098" width="11.42578125" style="173"/>
    <col min="4099" max="4099" width="3.7109375" style="173" customWidth="1"/>
    <col min="4100" max="4100" width="92.140625" style="173" customWidth="1"/>
    <col min="4101" max="4102" width="11.85546875" style="173" bestFit="1" customWidth="1"/>
    <col min="4103" max="4354" width="11.42578125" style="173"/>
    <col min="4355" max="4355" width="3.7109375" style="173" customWidth="1"/>
    <col min="4356" max="4356" width="92.140625" style="173" customWidth="1"/>
    <col min="4357" max="4358" width="11.85546875" style="173" bestFit="1" customWidth="1"/>
    <col min="4359" max="4610" width="11.42578125" style="173"/>
    <col min="4611" max="4611" width="3.7109375" style="173" customWidth="1"/>
    <col min="4612" max="4612" width="92.140625" style="173" customWidth="1"/>
    <col min="4613" max="4614" width="11.85546875" style="173" bestFit="1" customWidth="1"/>
    <col min="4615" max="4866" width="11.42578125" style="173"/>
    <col min="4867" max="4867" width="3.7109375" style="173" customWidth="1"/>
    <col min="4868" max="4868" width="92.140625" style="173" customWidth="1"/>
    <col min="4869" max="4870" width="11.85546875" style="173" bestFit="1" customWidth="1"/>
    <col min="4871" max="5122" width="11.42578125" style="173"/>
    <col min="5123" max="5123" width="3.7109375" style="173" customWidth="1"/>
    <col min="5124" max="5124" width="92.140625" style="173" customWidth="1"/>
    <col min="5125" max="5126" width="11.85546875" style="173" bestFit="1" customWidth="1"/>
    <col min="5127" max="5378" width="11.42578125" style="173"/>
    <col min="5379" max="5379" width="3.7109375" style="173" customWidth="1"/>
    <col min="5380" max="5380" width="92.140625" style="173" customWidth="1"/>
    <col min="5381" max="5382" width="11.85546875" style="173" bestFit="1" customWidth="1"/>
    <col min="5383" max="5634" width="11.42578125" style="173"/>
    <col min="5635" max="5635" width="3.7109375" style="173" customWidth="1"/>
    <col min="5636" max="5636" width="92.140625" style="173" customWidth="1"/>
    <col min="5637" max="5638" width="11.85546875" style="173" bestFit="1" customWidth="1"/>
    <col min="5639" max="5890" width="11.42578125" style="173"/>
    <col min="5891" max="5891" width="3.7109375" style="173" customWidth="1"/>
    <col min="5892" max="5892" width="92.140625" style="173" customWidth="1"/>
    <col min="5893" max="5894" width="11.85546875" style="173" bestFit="1" customWidth="1"/>
    <col min="5895" max="6146" width="11.42578125" style="173"/>
    <col min="6147" max="6147" width="3.7109375" style="173" customWidth="1"/>
    <col min="6148" max="6148" width="92.140625" style="173" customWidth="1"/>
    <col min="6149" max="6150" width="11.85546875" style="173" bestFit="1" customWidth="1"/>
    <col min="6151" max="6402" width="11.42578125" style="173"/>
    <col min="6403" max="6403" width="3.7109375" style="173" customWidth="1"/>
    <col min="6404" max="6404" width="92.140625" style="173" customWidth="1"/>
    <col min="6405" max="6406" width="11.85546875" style="173" bestFit="1" customWidth="1"/>
    <col min="6407" max="6658" width="11.42578125" style="173"/>
    <col min="6659" max="6659" width="3.7109375" style="173" customWidth="1"/>
    <col min="6660" max="6660" width="92.140625" style="173" customWidth="1"/>
    <col min="6661" max="6662" width="11.85546875" style="173" bestFit="1" customWidth="1"/>
    <col min="6663" max="6914" width="11.42578125" style="173"/>
    <col min="6915" max="6915" width="3.7109375" style="173" customWidth="1"/>
    <col min="6916" max="6916" width="92.140625" style="173" customWidth="1"/>
    <col min="6917" max="6918" width="11.85546875" style="173" bestFit="1" customWidth="1"/>
    <col min="6919" max="7170" width="11.42578125" style="173"/>
    <col min="7171" max="7171" width="3.7109375" style="173" customWidth="1"/>
    <col min="7172" max="7172" width="92.140625" style="173" customWidth="1"/>
    <col min="7173" max="7174" width="11.85546875" style="173" bestFit="1" customWidth="1"/>
    <col min="7175" max="7426" width="11.42578125" style="173"/>
    <col min="7427" max="7427" width="3.7109375" style="173" customWidth="1"/>
    <col min="7428" max="7428" width="92.140625" style="173" customWidth="1"/>
    <col min="7429" max="7430" width="11.85546875" style="173" bestFit="1" customWidth="1"/>
    <col min="7431" max="7682" width="11.42578125" style="173"/>
    <col min="7683" max="7683" width="3.7109375" style="173" customWidth="1"/>
    <col min="7684" max="7684" width="92.140625" style="173" customWidth="1"/>
    <col min="7685" max="7686" width="11.85546875" style="173" bestFit="1" customWidth="1"/>
    <col min="7687" max="7938" width="11.42578125" style="173"/>
    <col min="7939" max="7939" width="3.7109375" style="173" customWidth="1"/>
    <col min="7940" max="7940" width="92.140625" style="173" customWidth="1"/>
    <col min="7941" max="7942" width="11.85546875" style="173" bestFit="1" customWidth="1"/>
    <col min="7943" max="8194" width="11.42578125" style="173"/>
    <col min="8195" max="8195" width="3.7109375" style="173" customWidth="1"/>
    <col min="8196" max="8196" width="92.140625" style="173" customWidth="1"/>
    <col min="8197" max="8198" width="11.85546875" style="173" bestFit="1" customWidth="1"/>
    <col min="8199" max="8450" width="11.42578125" style="173"/>
    <col min="8451" max="8451" width="3.7109375" style="173" customWidth="1"/>
    <col min="8452" max="8452" width="92.140625" style="173" customWidth="1"/>
    <col min="8453" max="8454" width="11.85546875" style="173" bestFit="1" customWidth="1"/>
    <col min="8455" max="8706" width="11.42578125" style="173"/>
    <col min="8707" max="8707" width="3.7109375" style="173" customWidth="1"/>
    <col min="8708" max="8708" width="92.140625" style="173" customWidth="1"/>
    <col min="8709" max="8710" width="11.85546875" style="173" bestFit="1" customWidth="1"/>
    <col min="8711" max="8962" width="11.42578125" style="173"/>
    <col min="8963" max="8963" width="3.7109375" style="173" customWidth="1"/>
    <col min="8964" max="8964" width="92.140625" style="173" customWidth="1"/>
    <col min="8965" max="8966" width="11.85546875" style="173" bestFit="1" customWidth="1"/>
    <col min="8967" max="9218" width="11.42578125" style="173"/>
    <col min="9219" max="9219" width="3.7109375" style="173" customWidth="1"/>
    <col min="9220" max="9220" width="92.140625" style="173" customWidth="1"/>
    <col min="9221" max="9222" width="11.85546875" style="173" bestFit="1" customWidth="1"/>
    <col min="9223" max="9474" width="11.42578125" style="173"/>
    <col min="9475" max="9475" width="3.7109375" style="173" customWidth="1"/>
    <col min="9476" max="9476" width="92.140625" style="173" customWidth="1"/>
    <col min="9477" max="9478" width="11.85546875" style="173" bestFit="1" customWidth="1"/>
    <col min="9479" max="9730" width="11.42578125" style="173"/>
    <col min="9731" max="9731" width="3.7109375" style="173" customWidth="1"/>
    <col min="9732" max="9732" width="92.140625" style="173" customWidth="1"/>
    <col min="9733" max="9734" width="11.85546875" style="173" bestFit="1" customWidth="1"/>
    <col min="9735" max="9986" width="11.42578125" style="173"/>
    <col min="9987" max="9987" width="3.7109375" style="173" customWidth="1"/>
    <col min="9988" max="9988" width="92.140625" style="173" customWidth="1"/>
    <col min="9989" max="9990" width="11.85546875" style="173" bestFit="1" customWidth="1"/>
    <col min="9991" max="10242" width="11.42578125" style="173"/>
    <col min="10243" max="10243" width="3.7109375" style="173" customWidth="1"/>
    <col min="10244" max="10244" width="92.140625" style="173" customWidth="1"/>
    <col min="10245" max="10246" width="11.85546875" style="173" bestFit="1" customWidth="1"/>
    <col min="10247" max="10498" width="11.42578125" style="173"/>
    <col min="10499" max="10499" width="3.7109375" style="173" customWidth="1"/>
    <col min="10500" max="10500" width="92.140625" style="173" customWidth="1"/>
    <col min="10501" max="10502" width="11.85546875" style="173" bestFit="1" customWidth="1"/>
    <col min="10503" max="10754" width="11.42578125" style="173"/>
    <col min="10755" max="10755" width="3.7109375" style="173" customWidth="1"/>
    <col min="10756" max="10756" width="92.140625" style="173" customWidth="1"/>
    <col min="10757" max="10758" width="11.85546875" style="173" bestFit="1" customWidth="1"/>
    <col min="10759" max="11010" width="11.42578125" style="173"/>
    <col min="11011" max="11011" width="3.7109375" style="173" customWidth="1"/>
    <col min="11012" max="11012" width="92.140625" style="173" customWidth="1"/>
    <col min="11013" max="11014" width="11.85546875" style="173" bestFit="1" customWidth="1"/>
    <col min="11015" max="11266" width="11.42578125" style="173"/>
    <col min="11267" max="11267" width="3.7109375" style="173" customWidth="1"/>
    <col min="11268" max="11268" width="92.140625" style="173" customWidth="1"/>
    <col min="11269" max="11270" width="11.85546875" style="173" bestFit="1" customWidth="1"/>
    <col min="11271" max="11522" width="11.42578125" style="173"/>
    <col min="11523" max="11523" width="3.7109375" style="173" customWidth="1"/>
    <col min="11524" max="11524" width="92.140625" style="173" customWidth="1"/>
    <col min="11525" max="11526" width="11.85546875" style="173" bestFit="1" customWidth="1"/>
    <col min="11527" max="11778" width="11.42578125" style="173"/>
    <col min="11779" max="11779" width="3.7109375" style="173" customWidth="1"/>
    <col min="11780" max="11780" width="92.140625" style="173" customWidth="1"/>
    <col min="11781" max="11782" width="11.85546875" style="173" bestFit="1" customWidth="1"/>
    <col min="11783" max="12034" width="11.42578125" style="173"/>
    <col min="12035" max="12035" width="3.7109375" style="173" customWidth="1"/>
    <col min="12036" max="12036" width="92.140625" style="173" customWidth="1"/>
    <col min="12037" max="12038" width="11.85546875" style="173" bestFit="1" customWidth="1"/>
    <col min="12039" max="12290" width="11.42578125" style="173"/>
    <col min="12291" max="12291" width="3.7109375" style="173" customWidth="1"/>
    <col min="12292" max="12292" width="92.140625" style="173" customWidth="1"/>
    <col min="12293" max="12294" width="11.85546875" style="173" bestFit="1" customWidth="1"/>
    <col min="12295" max="12546" width="11.42578125" style="173"/>
    <col min="12547" max="12547" width="3.7109375" style="173" customWidth="1"/>
    <col min="12548" max="12548" width="92.140625" style="173" customWidth="1"/>
    <col min="12549" max="12550" width="11.85546875" style="173" bestFit="1" customWidth="1"/>
    <col min="12551" max="12802" width="11.42578125" style="173"/>
    <col min="12803" max="12803" width="3.7109375" style="173" customWidth="1"/>
    <col min="12804" max="12804" width="92.140625" style="173" customWidth="1"/>
    <col min="12805" max="12806" width="11.85546875" style="173" bestFit="1" customWidth="1"/>
    <col min="12807" max="13058" width="11.42578125" style="173"/>
    <col min="13059" max="13059" width="3.7109375" style="173" customWidth="1"/>
    <col min="13060" max="13060" width="92.140625" style="173" customWidth="1"/>
    <col min="13061" max="13062" width="11.85546875" style="173" bestFit="1" customWidth="1"/>
    <col min="13063" max="13314" width="11.42578125" style="173"/>
    <col min="13315" max="13315" width="3.7109375" style="173" customWidth="1"/>
    <col min="13316" max="13316" width="92.140625" style="173" customWidth="1"/>
    <col min="13317" max="13318" width="11.85546875" style="173" bestFit="1" customWidth="1"/>
    <col min="13319" max="13570" width="11.42578125" style="173"/>
    <col min="13571" max="13571" width="3.7109375" style="173" customWidth="1"/>
    <col min="13572" max="13572" width="92.140625" style="173" customWidth="1"/>
    <col min="13573" max="13574" width="11.85546875" style="173" bestFit="1" customWidth="1"/>
    <col min="13575" max="13826" width="11.42578125" style="173"/>
    <col min="13827" max="13827" width="3.7109375" style="173" customWidth="1"/>
    <col min="13828" max="13828" width="92.140625" style="173" customWidth="1"/>
    <col min="13829" max="13830" width="11.85546875" style="173" bestFit="1" customWidth="1"/>
    <col min="13831" max="14082" width="11.42578125" style="173"/>
    <col min="14083" max="14083" width="3.7109375" style="173" customWidth="1"/>
    <col min="14084" max="14084" width="92.140625" style="173" customWidth="1"/>
    <col min="14085" max="14086" width="11.85546875" style="173" bestFit="1" customWidth="1"/>
    <col min="14087" max="14338" width="11.42578125" style="173"/>
    <col min="14339" max="14339" width="3.7109375" style="173" customWidth="1"/>
    <col min="14340" max="14340" width="92.140625" style="173" customWidth="1"/>
    <col min="14341" max="14342" width="11.85546875" style="173" bestFit="1" customWidth="1"/>
    <col min="14343" max="14594" width="11.42578125" style="173"/>
    <col min="14595" max="14595" width="3.7109375" style="173" customWidth="1"/>
    <col min="14596" max="14596" width="92.140625" style="173" customWidth="1"/>
    <col min="14597" max="14598" width="11.85546875" style="173" bestFit="1" customWidth="1"/>
    <col min="14599" max="14850" width="11.42578125" style="173"/>
    <col min="14851" max="14851" width="3.7109375" style="173" customWidth="1"/>
    <col min="14852" max="14852" width="92.140625" style="173" customWidth="1"/>
    <col min="14853" max="14854" width="11.85546875" style="173" bestFit="1" customWidth="1"/>
    <col min="14855" max="15106" width="11.42578125" style="173"/>
    <col min="15107" max="15107" width="3.7109375" style="173" customWidth="1"/>
    <col min="15108" max="15108" width="92.140625" style="173" customWidth="1"/>
    <col min="15109" max="15110" width="11.85546875" style="173" bestFit="1" customWidth="1"/>
    <col min="15111" max="15362" width="11.42578125" style="173"/>
    <col min="15363" max="15363" width="3.7109375" style="173" customWidth="1"/>
    <col min="15364" max="15364" width="92.140625" style="173" customWidth="1"/>
    <col min="15365" max="15366" width="11.85546875" style="173" bestFit="1" customWidth="1"/>
    <col min="15367" max="15618" width="11.42578125" style="173"/>
    <col min="15619" max="15619" width="3.7109375" style="173" customWidth="1"/>
    <col min="15620" max="15620" width="92.140625" style="173" customWidth="1"/>
    <col min="15621" max="15622" width="11.85546875" style="173" bestFit="1" customWidth="1"/>
    <col min="15623" max="15874" width="11.42578125" style="173"/>
    <col min="15875" max="15875" width="3.7109375" style="173" customWidth="1"/>
    <col min="15876" max="15876" width="92.140625" style="173" customWidth="1"/>
    <col min="15877" max="15878" width="11.85546875" style="173" bestFit="1" customWidth="1"/>
    <col min="15879" max="16130" width="11.42578125" style="173"/>
    <col min="16131" max="16131" width="3.7109375" style="173" customWidth="1"/>
    <col min="16132" max="16132" width="92.140625" style="173" customWidth="1"/>
    <col min="16133" max="16134" width="11.85546875" style="173" bestFit="1" customWidth="1"/>
    <col min="16135" max="16384" width="11.42578125" style="173"/>
  </cols>
  <sheetData>
    <row r="2" spans="5:9" ht="15.75" thickBot="1"/>
    <row r="3" spans="5:9" ht="15.75" thickBot="1">
      <c r="E3" s="196"/>
      <c r="F3" s="197" t="s">
        <v>255</v>
      </c>
      <c r="G3" s="198" t="s">
        <v>256</v>
      </c>
    </row>
    <row r="4" spans="5:9">
      <c r="E4" s="199"/>
      <c r="F4" s="174" t="s">
        <v>376</v>
      </c>
      <c r="G4" s="200">
        <v>44927</v>
      </c>
    </row>
    <row r="5" spans="5:9">
      <c r="E5" s="201"/>
      <c r="F5" s="202"/>
      <c r="G5" s="203">
        <v>45290</v>
      </c>
    </row>
    <row r="6" spans="5:9">
      <c r="E6" s="204"/>
      <c r="F6" s="205" t="s">
        <v>257</v>
      </c>
      <c r="G6" s="206"/>
    </row>
    <row r="7" spans="5:9">
      <c r="E7" s="204"/>
      <c r="F7" s="207" t="s">
        <v>258</v>
      </c>
      <c r="G7" s="206"/>
    </row>
    <row r="8" spans="5:9">
      <c r="E8" s="208"/>
      <c r="F8" s="209" t="s">
        <v>259</v>
      </c>
      <c r="G8" s="210">
        <f>+'balance 2023 '!J69</f>
        <v>700000000</v>
      </c>
      <c r="H8" s="211"/>
    </row>
    <row r="9" spans="5:9">
      <c r="E9" s="208"/>
      <c r="F9" s="209" t="s">
        <v>260</v>
      </c>
      <c r="G9" s="210">
        <f>-'balance 2023 '!I47</f>
        <v>-280000000</v>
      </c>
      <c r="H9" s="211"/>
    </row>
    <row r="10" spans="5:9">
      <c r="E10" s="208"/>
      <c r="F10" s="212" t="s">
        <v>261</v>
      </c>
      <c r="G10" s="213">
        <f>+G8+G9</f>
        <v>420000000</v>
      </c>
      <c r="H10" s="211"/>
    </row>
    <row r="11" spans="5:9">
      <c r="E11" s="208"/>
      <c r="F11" s="209" t="s">
        <v>262</v>
      </c>
      <c r="G11" s="210">
        <f>+'balance 2023 '!J67+'balance 2023 '!J68</f>
        <v>930000</v>
      </c>
      <c r="H11" s="211"/>
    </row>
    <row r="12" spans="5:9">
      <c r="E12" s="208"/>
      <c r="F12" s="209" t="s">
        <v>263</v>
      </c>
      <c r="G12" s="210"/>
      <c r="H12" s="211"/>
    </row>
    <row r="13" spans="5:9">
      <c r="E13" s="208"/>
      <c r="F13" s="209" t="s">
        <v>264</v>
      </c>
      <c r="G13" s="210">
        <f>-SUM('balance 2023 '!I48:I52,'balance 2023 '!I58:I62,'balance 2023 '!I64:I65)</f>
        <v>-113238900.5602241</v>
      </c>
      <c r="H13" s="211"/>
    </row>
    <row r="14" spans="5:9">
      <c r="E14" s="208"/>
      <c r="F14" s="209" t="s">
        <v>265</v>
      </c>
      <c r="G14" s="210">
        <f>-'balance 2023 '!I63-'balance 2023 '!I56</f>
        <v>-17332212.442495923</v>
      </c>
      <c r="H14" s="211"/>
    </row>
    <row r="15" spans="5:9">
      <c r="E15" s="208"/>
      <c r="F15" s="214" t="s">
        <v>266</v>
      </c>
      <c r="G15" s="215">
        <f>SUM(G10:G14)</f>
        <v>290358886.99727994</v>
      </c>
      <c r="H15" s="211"/>
      <c r="I15" s="184"/>
    </row>
    <row r="16" spans="5:9">
      <c r="E16" s="208"/>
      <c r="F16" s="209" t="s">
        <v>267</v>
      </c>
      <c r="G16" s="210">
        <f>-'balance 2023 '!I54</f>
        <v>-41943606.758584037</v>
      </c>
      <c r="H16" s="211"/>
    </row>
    <row r="17" spans="5:10" ht="15.75" thickBot="1">
      <c r="E17" s="216"/>
      <c r="F17" s="217" t="s">
        <v>258</v>
      </c>
      <c r="G17" s="218">
        <f>+G15+G16</f>
        <v>248415280.23869592</v>
      </c>
      <c r="H17" s="211"/>
      <c r="I17" s="184"/>
      <c r="J17" s="184"/>
    </row>
    <row r="18" spans="5:10">
      <c r="G18" s="184"/>
      <c r="I18" s="184"/>
    </row>
    <row r="19" spans="5:10">
      <c r="G19" s="184"/>
    </row>
    <row r="20" spans="5:10">
      <c r="G20" s="184"/>
    </row>
    <row r="24" spans="5:10">
      <c r="G24" s="195"/>
    </row>
    <row r="25" spans="5:10">
      <c r="G25" s="195"/>
    </row>
    <row r="26" spans="5:10">
      <c r="G26" s="195"/>
    </row>
  </sheetData>
  <conditionalFormatting sqref="H8:H17 G8:G9">
    <cfRule type="expression" dxfId="0" priority="1" stopIfTrue="1">
      <formula>#REF!="totalizador"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zoomScale="118" zoomScaleNormal="118" workbookViewId="0">
      <selection activeCell="B11" sqref="B11"/>
    </sheetView>
  </sheetViews>
  <sheetFormatPr baseColWidth="10" defaultColWidth="13.140625" defaultRowHeight="15"/>
  <cols>
    <col min="1" max="1" width="50.5703125" style="219" customWidth="1"/>
    <col min="2" max="2" width="14.140625" style="219" customWidth="1"/>
    <col min="3" max="3" width="15.42578125" style="219" customWidth="1"/>
    <col min="4" max="4" width="13.140625" style="219"/>
    <col min="5" max="5" width="16" style="219" bestFit="1" customWidth="1"/>
    <col min="6" max="256" width="13.140625" style="219"/>
    <col min="257" max="257" width="65" style="219" customWidth="1"/>
    <col min="258" max="259" width="17.7109375" style="219" bestFit="1" customWidth="1"/>
    <col min="260" max="260" width="13.140625" style="219"/>
    <col min="261" max="261" width="16" style="219" bestFit="1" customWidth="1"/>
    <col min="262" max="512" width="13.140625" style="219"/>
    <col min="513" max="513" width="65" style="219" customWidth="1"/>
    <col min="514" max="515" width="17.7109375" style="219" bestFit="1" customWidth="1"/>
    <col min="516" max="516" width="13.140625" style="219"/>
    <col min="517" max="517" width="16" style="219" bestFit="1" customWidth="1"/>
    <col min="518" max="768" width="13.140625" style="219"/>
    <col min="769" max="769" width="65" style="219" customWidth="1"/>
    <col min="770" max="771" width="17.7109375" style="219" bestFit="1" customWidth="1"/>
    <col min="772" max="772" width="13.140625" style="219"/>
    <col min="773" max="773" width="16" style="219" bestFit="1" customWidth="1"/>
    <col min="774" max="1024" width="13.140625" style="219"/>
    <col min="1025" max="1025" width="65" style="219" customWidth="1"/>
    <col min="1026" max="1027" width="17.7109375" style="219" bestFit="1" customWidth="1"/>
    <col min="1028" max="1028" width="13.140625" style="219"/>
    <col min="1029" max="1029" width="16" style="219" bestFit="1" customWidth="1"/>
    <col min="1030" max="1280" width="13.140625" style="219"/>
    <col min="1281" max="1281" width="65" style="219" customWidth="1"/>
    <col min="1282" max="1283" width="17.7109375" style="219" bestFit="1" customWidth="1"/>
    <col min="1284" max="1284" width="13.140625" style="219"/>
    <col min="1285" max="1285" width="16" style="219" bestFit="1" customWidth="1"/>
    <col min="1286" max="1536" width="13.140625" style="219"/>
    <col min="1537" max="1537" width="65" style="219" customWidth="1"/>
    <col min="1538" max="1539" width="17.7109375" style="219" bestFit="1" customWidth="1"/>
    <col min="1540" max="1540" width="13.140625" style="219"/>
    <col min="1541" max="1541" width="16" style="219" bestFit="1" customWidth="1"/>
    <col min="1542" max="1792" width="13.140625" style="219"/>
    <col min="1793" max="1793" width="65" style="219" customWidth="1"/>
    <col min="1794" max="1795" width="17.7109375" style="219" bestFit="1" customWidth="1"/>
    <col min="1796" max="1796" width="13.140625" style="219"/>
    <col min="1797" max="1797" width="16" style="219" bestFit="1" customWidth="1"/>
    <col min="1798" max="2048" width="13.140625" style="219"/>
    <col min="2049" max="2049" width="65" style="219" customWidth="1"/>
    <col min="2050" max="2051" width="17.7109375" style="219" bestFit="1" customWidth="1"/>
    <col min="2052" max="2052" width="13.140625" style="219"/>
    <col min="2053" max="2053" width="16" style="219" bestFit="1" customWidth="1"/>
    <col min="2054" max="2304" width="13.140625" style="219"/>
    <col min="2305" max="2305" width="65" style="219" customWidth="1"/>
    <col min="2306" max="2307" width="17.7109375" style="219" bestFit="1" customWidth="1"/>
    <col min="2308" max="2308" width="13.140625" style="219"/>
    <col min="2309" max="2309" width="16" style="219" bestFit="1" customWidth="1"/>
    <col min="2310" max="2560" width="13.140625" style="219"/>
    <col min="2561" max="2561" width="65" style="219" customWidth="1"/>
    <col min="2562" max="2563" width="17.7109375" style="219" bestFit="1" customWidth="1"/>
    <col min="2564" max="2564" width="13.140625" style="219"/>
    <col min="2565" max="2565" width="16" style="219" bestFit="1" customWidth="1"/>
    <col min="2566" max="2816" width="13.140625" style="219"/>
    <col min="2817" max="2817" width="65" style="219" customWidth="1"/>
    <col min="2818" max="2819" width="17.7109375" style="219" bestFit="1" customWidth="1"/>
    <col min="2820" max="2820" width="13.140625" style="219"/>
    <col min="2821" max="2821" width="16" style="219" bestFit="1" customWidth="1"/>
    <col min="2822" max="3072" width="13.140625" style="219"/>
    <col min="3073" max="3073" width="65" style="219" customWidth="1"/>
    <col min="3074" max="3075" width="17.7109375" style="219" bestFit="1" customWidth="1"/>
    <col min="3076" max="3076" width="13.140625" style="219"/>
    <col min="3077" max="3077" width="16" style="219" bestFit="1" customWidth="1"/>
    <col min="3078" max="3328" width="13.140625" style="219"/>
    <col min="3329" max="3329" width="65" style="219" customWidth="1"/>
    <col min="3330" max="3331" width="17.7109375" style="219" bestFit="1" customWidth="1"/>
    <col min="3332" max="3332" width="13.140625" style="219"/>
    <col min="3333" max="3333" width="16" style="219" bestFit="1" customWidth="1"/>
    <col min="3334" max="3584" width="13.140625" style="219"/>
    <col min="3585" max="3585" width="65" style="219" customWidth="1"/>
    <col min="3586" max="3587" width="17.7109375" style="219" bestFit="1" customWidth="1"/>
    <col min="3588" max="3588" width="13.140625" style="219"/>
    <col min="3589" max="3589" width="16" style="219" bestFit="1" customWidth="1"/>
    <col min="3590" max="3840" width="13.140625" style="219"/>
    <col min="3841" max="3841" width="65" style="219" customWidth="1"/>
    <col min="3842" max="3843" width="17.7109375" style="219" bestFit="1" customWidth="1"/>
    <col min="3844" max="3844" width="13.140625" style="219"/>
    <col min="3845" max="3845" width="16" style="219" bestFit="1" customWidth="1"/>
    <col min="3846" max="4096" width="13.140625" style="219"/>
    <col min="4097" max="4097" width="65" style="219" customWidth="1"/>
    <col min="4098" max="4099" width="17.7109375" style="219" bestFit="1" customWidth="1"/>
    <col min="4100" max="4100" width="13.140625" style="219"/>
    <col min="4101" max="4101" width="16" style="219" bestFit="1" customWidth="1"/>
    <col min="4102" max="4352" width="13.140625" style="219"/>
    <col min="4353" max="4353" width="65" style="219" customWidth="1"/>
    <col min="4354" max="4355" width="17.7109375" style="219" bestFit="1" customWidth="1"/>
    <col min="4356" max="4356" width="13.140625" style="219"/>
    <col min="4357" max="4357" width="16" style="219" bestFit="1" customWidth="1"/>
    <col min="4358" max="4608" width="13.140625" style="219"/>
    <col min="4609" max="4609" width="65" style="219" customWidth="1"/>
    <col min="4610" max="4611" width="17.7109375" style="219" bestFit="1" customWidth="1"/>
    <col min="4612" max="4612" width="13.140625" style="219"/>
    <col min="4613" max="4613" width="16" style="219" bestFit="1" customWidth="1"/>
    <col min="4614" max="4864" width="13.140625" style="219"/>
    <col min="4865" max="4865" width="65" style="219" customWidth="1"/>
    <col min="4866" max="4867" width="17.7109375" style="219" bestFit="1" customWidth="1"/>
    <col min="4868" max="4868" width="13.140625" style="219"/>
    <col min="4869" max="4869" width="16" style="219" bestFit="1" customWidth="1"/>
    <col min="4870" max="5120" width="13.140625" style="219"/>
    <col min="5121" max="5121" width="65" style="219" customWidth="1"/>
    <col min="5122" max="5123" width="17.7109375" style="219" bestFit="1" customWidth="1"/>
    <col min="5124" max="5124" width="13.140625" style="219"/>
    <col min="5125" max="5125" width="16" style="219" bestFit="1" customWidth="1"/>
    <col min="5126" max="5376" width="13.140625" style="219"/>
    <col min="5377" max="5377" width="65" style="219" customWidth="1"/>
    <col min="5378" max="5379" width="17.7109375" style="219" bestFit="1" customWidth="1"/>
    <col min="5380" max="5380" width="13.140625" style="219"/>
    <col min="5381" max="5381" width="16" style="219" bestFit="1" customWidth="1"/>
    <col min="5382" max="5632" width="13.140625" style="219"/>
    <col min="5633" max="5633" width="65" style="219" customWidth="1"/>
    <col min="5634" max="5635" width="17.7109375" style="219" bestFit="1" customWidth="1"/>
    <col min="5636" max="5636" width="13.140625" style="219"/>
    <col min="5637" max="5637" width="16" style="219" bestFit="1" customWidth="1"/>
    <col min="5638" max="5888" width="13.140625" style="219"/>
    <col min="5889" max="5889" width="65" style="219" customWidth="1"/>
    <col min="5890" max="5891" width="17.7109375" style="219" bestFit="1" customWidth="1"/>
    <col min="5892" max="5892" width="13.140625" style="219"/>
    <col min="5893" max="5893" width="16" style="219" bestFit="1" customWidth="1"/>
    <col min="5894" max="6144" width="13.140625" style="219"/>
    <col min="6145" max="6145" width="65" style="219" customWidth="1"/>
    <col min="6146" max="6147" width="17.7109375" style="219" bestFit="1" customWidth="1"/>
    <col min="6148" max="6148" width="13.140625" style="219"/>
    <col min="6149" max="6149" width="16" style="219" bestFit="1" customWidth="1"/>
    <col min="6150" max="6400" width="13.140625" style="219"/>
    <col min="6401" max="6401" width="65" style="219" customWidth="1"/>
    <col min="6402" max="6403" width="17.7109375" style="219" bestFit="1" customWidth="1"/>
    <col min="6404" max="6404" width="13.140625" style="219"/>
    <col min="6405" max="6405" width="16" style="219" bestFit="1" customWidth="1"/>
    <col min="6406" max="6656" width="13.140625" style="219"/>
    <col min="6657" max="6657" width="65" style="219" customWidth="1"/>
    <col min="6658" max="6659" width="17.7109375" style="219" bestFit="1" customWidth="1"/>
    <col min="6660" max="6660" width="13.140625" style="219"/>
    <col min="6661" max="6661" width="16" style="219" bestFit="1" customWidth="1"/>
    <col min="6662" max="6912" width="13.140625" style="219"/>
    <col min="6913" max="6913" width="65" style="219" customWidth="1"/>
    <col min="6914" max="6915" width="17.7109375" style="219" bestFit="1" customWidth="1"/>
    <col min="6916" max="6916" width="13.140625" style="219"/>
    <col min="6917" max="6917" width="16" style="219" bestFit="1" customWidth="1"/>
    <col min="6918" max="7168" width="13.140625" style="219"/>
    <col min="7169" max="7169" width="65" style="219" customWidth="1"/>
    <col min="7170" max="7171" width="17.7109375" style="219" bestFit="1" customWidth="1"/>
    <col min="7172" max="7172" width="13.140625" style="219"/>
    <col min="7173" max="7173" width="16" style="219" bestFit="1" customWidth="1"/>
    <col min="7174" max="7424" width="13.140625" style="219"/>
    <col min="7425" max="7425" width="65" style="219" customWidth="1"/>
    <col min="7426" max="7427" width="17.7109375" style="219" bestFit="1" customWidth="1"/>
    <col min="7428" max="7428" width="13.140625" style="219"/>
    <col min="7429" max="7429" width="16" style="219" bestFit="1" customWidth="1"/>
    <col min="7430" max="7680" width="13.140625" style="219"/>
    <col min="7681" max="7681" width="65" style="219" customWidth="1"/>
    <col min="7682" max="7683" width="17.7109375" style="219" bestFit="1" customWidth="1"/>
    <col min="7684" max="7684" width="13.140625" style="219"/>
    <col min="7685" max="7685" width="16" style="219" bestFit="1" customWidth="1"/>
    <col min="7686" max="7936" width="13.140625" style="219"/>
    <col min="7937" max="7937" width="65" style="219" customWidth="1"/>
    <col min="7938" max="7939" width="17.7109375" style="219" bestFit="1" customWidth="1"/>
    <col min="7940" max="7940" width="13.140625" style="219"/>
    <col min="7941" max="7941" width="16" style="219" bestFit="1" customWidth="1"/>
    <col min="7942" max="8192" width="13.140625" style="219"/>
    <col min="8193" max="8193" width="65" style="219" customWidth="1"/>
    <col min="8194" max="8195" width="17.7109375" style="219" bestFit="1" customWidth="1"/>
    <col min="8196" max="8196" width="13.140625" style="219"/>
    <col min="8197" max="8197" width="16" style="219" bestFit="1" customWidth="1"/>
    <col min="8198" max="8448" width="13.140625" style="219"/>
    <col min="8449" max="8449" width="65" style="219" customWidth="1"/>
    <col min="8450" max="8451" width="17.7109375" style="219" bestFit="1" customWidth="1"/>
    <col min="8452" max="8452" width="13.140625" style="219"/>
    <col min="8453" max="8453" width="16" style="219" bestFit="1" customWidth="1"/>
    <col min="8454" max="8704" width="13.140625" style="219"/>
    <col min="8705" max="8705" width="65" style="219" customWidth="1"/>
    <col min="8706" max="8707" width="17.7109375" style="219" bestFit="1" customWidth="1"/>
    <col min="8708" max="8708" width="13.140625" style="219"/>
    <col min="8709" max="8709" width="16" style="219" bestFit="1" customWidth="1"/>
    <col min="8710" max="8960" width="13.140625" style="219"/>
    <col min="8961" max="8961" width="65" style="219" customWidth="1"/>
    <col min="8962" max="8963" width="17.7109375" style="219" bestFit="1" customWidth="1"/>
    <col min="8964" max="8964" width="13.140625" style="219"/>
    <col min="8965" max="8965" width="16" style="219" bestFit="1" customWidth="1"/>
    <col min="8966" max="9216" width="13.140625" style="219"/>
    <col min="9217" max="9217" width="65" style="219" customWidth="1"/>
    <col min="9218" max="9219" width="17.7109375" style="219" bestFit="1" customWidth="1"/>
    <col min="9220" max="9220" width="13.140625" style="219"/>
    <col min="9221" max="9221" width="16" style="219" bestFit="1" customWidth="1"/>
    <col min="9222" max="9472" width="13.140625" style="219"/>
    <col min="9473" max="9473" width="65" style="219" customWidth="1"/>
    <col min="9474" max="9475" width="17.7109375" style="219" bestFit="1" customWidth="1"/>
    <col min="9476" max="9476" width="13.140625" style="219"/>
    <col min="9477" max="9477" width="16" style="219" bestFit="1" customWidth="1"/>
    <col min="9478" max="9728" width="13.140625" style="219"/>
    <col min="9729" max="9729" width="65" style="219" customWidth="1"/>
    <col min="9730" max="9731" width="17.7109375" style="219" bestFit="1" customWidth="1"/>
    <col min="9732" max="9732" width="13.140625" style="219"/>
    <col min="9733" max="9733" width="16" style="219" bestFit="1" customWidth="1"/>
    <col min="9734" max="9984" width="13.140625" style="219"/>
    <col min="9985" max="9985" width="65" style="219" customWidth="1"/>
    <col min="9986" max="9987" width="17.7109375" style="219" bestFit="1" customWidth="1"/>
    <col min="9988" max="9988" width="13.140625" style="219"/>
    <col min="9989" max="9989" width="16" style="219" bestFit="1" customWidth="1"/>
    <col min="9990" max="10240" width="13.140625" style="219"/>
    <col min="10241" max="10241" width="65" style="219" customWidth="1"/>
    <col min="10242" max="10243" width="17.7109375" style="219" bestFit="1" customWidth="1"/>
    <col min="10244" max="10244" width="13.140625" style="219"/>
    <col min="10245" max="10245" width="16" style="219" bestFit="1" customWidth="1"/>
    <col min="10246" max="10496" width="13.140625" style="219"/>
    <col min="10497" max="10497" width="65" style="219" customWidth="1"/>
    <col min="10498" max="10499" width="17.7109375" style="219" bestFit="1" customWidth="1"/>
    <col min="10500" max="10500" width="13.140625" style="219"/>
    <col min="10501" max="10501" width="16" style="219" bestFit="1" customWidth="1"/>
    <col min="10502" max="10752" width="13.140625" style="219"/>
    <col min="10753" max="10753" width="65" style="219" customWidth="1"/>
    <col min="10754" max="10755" width="17.7109375" style="219" bestFit="1" customWidth="1"/>
    <col min="10756" max="10756" width="13.140625" style="219"/>
    <col min="10757" max="10757" width="16" style="219" bestFit="1" customWidth="1"/>
    <col min="10758" max="11008" width="13.140625" style="219"/>
    <col min="11009" max="11009" width="65" style="219" customWidth="1"/>
    <col min="11010" max="11011" width="17.7109375" style="219" bestFit="1" customWidth="1"/>
    <col min="11012" max="11012" width="13.140625" style="219"/>
    <col min="11013" max="11013" width="16" style="219" bestFit="1" customWidth="1"/>
    <col min="11014" max="11264" width="13.140625" style="219"/>
    <col min="11265" max="11265" width="65" style="219" customWidth="1"/>
    <col min="11266" max="11267" width="17.7109375" style="219" bestFit="1" customWidth="1"/>
    <col min="11268" max="11268" width="13.140625" style="219"/>
    <col min="11269" max="11269" width="16" style="219" bestFit="1" customWidth="1"/>
    <col min="11270" max="11520" width="13.140625" style="219"/>
    <col min="11521" max="11521" width="65" style="219" customWidth="1"/>
    <col min="11522" max="11523" width="17.7109375" style="219" bestFit="1" customWidth="1"/>
    <col min="11524" max="11524" width="13.140625" style="219"/>
    <col min="11525" max="11525" width="16" style="219" bestFit="1" customWidth="1"/>
    <col min="11526" max="11776" width="13.140625" style="219"/>
    <col min="11777" max="11777" width="65" style="219" customWidth="1"/>
    <col min="11778" max="11779" width="17.7109375" style="219" bestFit="1" customWidth="1"/>
    <col min="11780" max="11780" width="13.140625" style="219"/>
    <col min="11781" max="11781" width="16" style="219" bestFit="1" customWidth="1"/>
    <col min="11782" max="12032" width="13.140625" style="219"/>
    <col min="12033" max="12033" width="65" style="219" customWidth="1"/>
    <col min="12034" max="12035" width="17.7109375" style="219" bestFit="1" customWidth="1"/>
    <col min="12036" max="12036" width="13.140625" style="219"/>
    <col min="12037" max="12037" width="16" style="219" bestFit="1" customWidth="1"/>
    <col min="12038" max="12288" width="13.140625" style="219"/>
    <col min="12289" max="12289" width="65" style="219" customWidth="1"/>
    <col min="12290" max="12291" width="17.7109375" style="219" bestFit="1" customWidth="1"/>
    <col min="12292" max="12292" width="13.140625" style="219"/>
    <col min="12293" max="12293" width="16" style="219" bestFit="1" customWidth="1"/>
    <col min="12294" max="12544" width="13.140625" style="219"/>
    <col min="12545" max="12545" width="65" style="219" customWidth="1"/>
    <col min="12546" max="12547" width="17.7109375" style="219" bestFit="1" customWidth="1"/>
    <col min="12548" max="12548" width="13.140625" style="219"/>
    <col min="12549" max="12549" width="16" style="219" bestFit="1" customWidth="1"/>
    <col min="12550" max="12800" width="13.140625" style="219"/>
    <col min="12801" max="12801" width="65" style="219" customWidth="1"/>
    <col min="12802" max="12803" width="17.7109375" style="219" bestFit="1" customWidth="1"/>
    <col min="12804" max="12804" width="13.140625" style="219"/>
    <col min="12805" max="12805" width="16" style="219" bestFit="1" customWidth="1"/>
    <col min="12806" max="13056" width="13.140625" style="219"/>
    <col min="13057" max="13057" width="65" style="219" customWidth="1"/>
    <col min="13058" max="13059" width="17.7109375" style="219" bestFit="1" customWidth="1"/>
    <col min="13060" max="13060" width="13.140625" style="219"/>
    <col min="13061" max="13061" width="16" style="219" bestFit="1" customWidth="1"/>
    <col min="13062" max="13312" width="13.140625" style="219"/>
    <col min="13313" max="13313" width="65" style="219" customWidth="1"/>
    <col min="13314" max="13315" width="17.7109375" style="219" bestFit="1" customWidth="1"/>
    <col min="13316" max="13316" width="13.140625" style="219"/>
    <col min="13317" max="13317" width="16" style="219" bestFit="1" customWidth="1"/>
    <col min="13318" max="13568" width="13.140625" style="219"/>
    <col min="13569" max="13569" width="65" style="219" customWidth="1"/>
    <col min="13570" max="13571" width="17.7109375" style="219" bestFit="1" customWidth="1"/>
    <col min="13572" max="13572" width="13.140625" style="219"/>
    <col min="13573" max="13573" width="16" style="219" bestFit="1" customWidth="1"/>
    <col min="13574" max="13824" width="13.140625" style="219"/>
    <col min="13825" max="13825" width="65" style="219" customWidth="1"/>
    <col min="13826" max="13827" width="17.7109375" style="219" bestFit="1" customWidth="1"/>
    <col min="13828" max="13828" width="13.140625" style="219"/>
    <col min="13829" max="13829" width="16" style="219" bestFit="1" customWidth="1"/>
    <col min="13830" max="14080" width="13.140625" style="219"/>
    <col min="14081" max="14081" width="65" style="219" customWidth="1"/>
    <col min="14082" max="14083" width="17.7109375" style="219" bestFit="1" customWidth="1"/>
    <col min="14084" max="14084" width="13.140625" style="219"/>
    <col min="14085" max="14085" width="16" style="219" bestFit="1" customWidth="1"/>
    <col min="14086" max="14336" width="13.140625" style="219"/>
    <col min="14337" max="14337" width="65" style="219" customWidth="1"/>
    <col min="14338" max="14339" width="17.7109375" style="219" bestFit="1" customWidth="1"/>
    <col min="14340" max="14340" width="13.140625" style="219"/>
    <col min="14341" max="14341" width="16" style="219" bestFit="1" customWidth="1"/>
    <col min="14342" max="14592" width="13.140625" style="219"/>
    <col min="14593" max="14593" width="65" style="219" customWidth="1"/>
    <col min="14594" max="14595" width="17.7109375" style="219" bestFit="1" customWidth="1"/>
    <col min="14596" max="14596" width="13.140625" style="219"/>
    <col min="14597" max="14597" width="16" style="219" bestFit="1" customWidth="1"/>
    <col min="14598" max="14848" width="13.140625" style="219"/>
    <col min="14849" max="14849" width="65" style="219" customWidth="1"/>
    <col min="14850" max="14851" width="17.7109375" style="219" bestFit="1" customWidth="1"/>
    <col min="14852" max="14852" width="13.140625" style="219"/>
    <col min="14853" max="14853" width="16" style="219" bestFit="1" customWidth="1"/>
    <col min="14854" max="15104" width="13.140625" style="219"/>
    <col min="15105" max="15105" width="65" style="219" customWidth="1"/>
    <col min="15106" max="15107" width="17.7109375" style="219" bestFit="1" customWidth="1"/>
    <col min="15108" max="15108" width="13.140625" style="219"/>
    <col min="15109" max="15109" width="16" style="219" bestFit="1" customWidth="1"/>
    <col min="15110" max="15360" width="13.140625" style="219"/>
    <col min="15361" max="15361" width="65" style="219" customWidth="1"/>
    <col min="15362" max="15363" width="17.7109375" style="219" bestFit="1" customWidth="1"/>
    <col min="15364" max="15364" width="13.140625" style="219"/>
    <col min="15365" max="15365" width="16" style="219" bestFit="1" customWidth="1"/>
    <col min="15366" max="15616" width="13.140625" style="219"/>
    <col min="15617" max="15617" width="65" style="219" customWidth="1"/>
    <col min="15618" max="15619" width="17.7109375" style="219" bestFit="1" customWidth="1"/>
    <col min="15620" max="15620" width="13.140625" style="219"/>
    <col min="15621" max="15621" width="16" style="219" bestFit="1" customWidth="1"/>
    <col min="15622" max="15872" width="13.140625" style="219"/>
    <col min="15873" max="15873" width="65" style="219" customWidth="1"/>
    <col min="15874" max="15875" width="17.7109375" style="219" bestFit="1" customWidth="1"/>
    <col min="15876" max="15876" width="13.140625" style="219"/>
    <col min="15877" max="15877" width="16" style="219" bestFit="1" customWidth="1"/>
    <col min="15878" max="16128" width="13.140625" style="219"/>
    <col min="16129" max="16129" width="65" style="219" customWidth="1"/>
    <col min="16130" max="16131" width="17.7109375" style="219" bestFit="1" customWidth="1"/>
    <col min="16132" max="16132" width="13.140625" style="219"/>
    <col min="16133" max="16133" width="16" style="219" bestFit="1" customWidth="1"/>
    <col min="16134" max="16384" width="13.140625" style="219"/>
  </cols>
  <sheetData>
    <row r="1" spans="1:5" ht="15.75" thickBot="1">
      <c r="A1" s="227" t="s">
        <v>301</v>
      </c>
      <c r="B1" s="198"/>
      <c r="C1" s="198" t="s">
        <v>256</v>
      </c>
    </row>
    <row r="2" spans="1:5">
      <c r="A2" s="174" t="s">
        <v>376</v>
      </c>
      <c r="B2" s="200"/>
      <c r="C2" s="200">
        <v>44927</v>
      </c>
    </row>
    <row r="3" spans="1:5">
      <c r="A3" s="228"/>
      <c r="B3" s="203"/>
      <c r="C3" s="203">
        <v>45290</v>
      </c>
    </row>
    <row r="4" spans="1:5">
      <c r="A4" s="207" t="s">
        <v>268</v>
      </c>
      <c r="B4" s="215"/>
      <c r="C4" s="213">
        <f>SUM(B5:B15)</f>
        <v>178588705.84615386</v>
      </c>
      <c r="E4" s="221"/>
    </row>
    <row r="5" spans="1:5">
      <c r="A5" s="209" t="s">
        <v>295</v>
      </c>
      <c r="B5" s="183">
        <f>+'cuentas T 2023'!B21+'cuentas T 2023'!B25</f>
        <v>683100000</v>
      </c>
      <c r="C5" s="220"/>
      <c r="E5" s="221"/>
    </row>
    <row r="6" spans="1:5">
      <c r="A6" s="209" t="s">
        <v>296</v>
      </c>
      <c r="B6" s="183">
        <f>+'cuentas T 2023'!B6</f>
        <v>1190000</v>
      </c>
      <c r="C6" s="220"/>
      <c r="E6" s="221"/>
    </row>
    <row r="7" spans="1:5">
      <c r="A7" s="209" t="s">
        <v>300</v>
      </c>
      <c r="B7" s="183">
        <f>+'cuentas T 2023'!B27</f>
        <v>45520000</v>
      </c>
      <c r="C7" s="220"/>
      <c r="E7" s="221"/>
    </row>
    <row r="8" spans="1:5">
      <c r="A8" s="209" t="s">
        <v>340</v>
      </c>
      <c r="B8" s="183">
        <f>-'cuentas T 2023'!C31</f>
        <v>-186085000</v>
      </c>
      <c r="C8" s="220"/>
      <c r="E8" s="221"/>
    </row>
    <row r="9" spans="1:5">
      <c r="A9" s="209" t="s">
        <v>332</v>
      </c>
      <c r="B9" s="183">
        <f>-'cuentas T 2023'!C20-'cuentas T 2023'!C22</f>
        <v>-161169000</v>
      </c>
      <c r="C9" s="220"/>
      <c r="E9" s="221"/>
    </row>
    <row r="10" spans="1:5">
      <c r="A10" s="209" t="s">
        <v>559</v>
      </c>
      <c r="B10" s="183">
        <f>-'cuentas T 2023'!C24</f>
        <v>-85414494.153846174</v>
      </c>
      <c r="C10" s="220"/>
      <c r="E10" s="221"/>
    </row>
    <row r="11" spans="1:5">
      <c r="A11" s="209" t="s">
        <v>289</v>
      </c>
      <c r="B11" s="183">
        <f>-'cuentas T 2023'!C5</f>
        <v>-2000000</v>
      </c>
      <c r="C11" s="220"/>
      <c r="E11" s="221"/>
    </row>
    <row r="12" spans="1:5">
      <c r="A12" s="209" t="s">
        <v>269</v>
      </c>
      <c r="B12" s="183">
        <f>-'cuentas T 2023'!C28</f>
        <v>-53460000</v>
      </c>
      <c r="C12" s="220"/>
      <c r="E12" s="221"/>
    </row>
    <row r="13" spans="1:5">
      <c r="A13" s="209" t="s">
        <v>284</v>
      </c>
      <c r="B13" s="183">
        <f>-'cuentas T 2023'!C4-'cuentas T 2023'!C29</f>
        <v>-15842800</v>
      </c>
      <c r="C13" s="220"/>
      <c r="E13" s="221"/>
    </row>
    <row r="14" spans="1:5">
      <c r="A14" s="209" t="s">
        <v>297</v>
      </c>
      <c r="B14" s="183">
        <f>-'cuentas T 2023'!C23</f>
        <v>-41650000</v>
      </c>
      <c r="C14" s="220"/>
      <c r="E14" s="221"/>
    </row>
    <row r="15" spans="1:5">
      <c r="A15" s="209" t="s">
        <v>270</v>
      </c>
      <c r="B15" s="183">
        <f>-'cuentas T 2023'!C30</f>
        <v>-5600000</v>
      </c>
      <c r="C15" s="220"/>
    </row>
    <row r="16" spans="1:5" ht="21">
      <c r="A16" s="207" t="s">
        <v>271</v>
      </c>
      <c r="B16" s="215" t="s">
        <v>272</v>
      </c>
      <c r="C16" s="213">
        <f>SUM(B17:B20)</f>
        <v>97650164.04285714</v>
      </c>
    </row>
    <row r="17" spans="1:3">
      <c r="A17" s="209" t="s">
        <v>273</v>
      </c>
      <c r="B17" s="183"/>
      <c r="C17" s="220"/>
    </row>
    <row r="18" spans="1:3">
      <c r="A18" s="209" t="s">
        <v>298</v>
      </c>
      <c r="B18" s="183">
        <f>+'cuentas T 2023'!B33</f>
        <v>150000000</v>
      </c>
      <c r="C18" s="220"/>
    </row>
    <row r="19" spans="1:3">
      <c r="A19" s="209" t="s">
        <v>299</v>
      </c>
      <c r="B19" s="183">
        <f>-'cuentas T 2023'!C32</f>
        <v>-52349835.95714286</v>
      </c>
      <c r="C19" s="220"/>
    </row>
    <row r="20" spans="1:3">
      <c r="A20" s="209" t="s">
        <v>274</v>
      </c>
      <c r="B20" s="183"/>
      <c r="C20" s="220"/>
    </row>
    <row r="21" spans="1:3">
      <c r="A21" s="207" t="s">
        <v>275</v>
      </c>
      <c r="B21" s="215"/>
      <c r="C21" s="213"/>
    </row>
    <row r="22" spans="1:3">
      <c r="A22" s="207" t="s">
        <v>276</v>
      </c>
      <c r="B22" s="215"/>
      <c r="C22" s="213">
        <f>+C4+C16+C21</f>
        <v>276238869.88901103</v>
      </c>
    </row>
    <row r="23" spans="1:3" ht="15.75">
      <c r="A23" s="222"/>
      <c r="B23" s="220"/>
      <c r="C23" s="220"/>
    </row>
    <row r="24" spans="1:3" ht="21">
      <c r="A24" s="207" t="s">
        <v>277</v>
      </c>
      <c r="B24" s="220"/>
      <c r="C24" s="213">
        <f>+'cuentas T 2023'!B3+'cuentas T 2023'!B19</f>
        <v>77639800</v>
      </c>
    </row>
    <row r="25" spans="1:3">
      <c r="A25" s="207" t="s">
        <v>278</v>
      </c>
      <c r="B25" s="220"/>
      <c r="C25" s="213">
        <f>+'cuentas T 2023'!C36+'cuentas T 2023'!C15+'cuentas T 2023'!J11</f>
        <v>353878669.88901103</v>
      </c>
    </row>
    <row r="26" spans="1:3">
      <c r="A26" s="207" t="s">
        <v>184</v>
      </c>
      <c r="B26" s="220"/>
      <c r="C26" s="213">
        <f>+C25-C24</f>
        <v>276238869.88901103</v>
      </c>
    </row>
    <row r="27" spans="1:3">
      <c r="B27" s="220"/>
      <c r="C27" s="220"/>
    </row>
    <row r="28" spans="1:3">
      <c r="B28" s="220"/>
      <c r="C28" s="220">
        <f>+C22-C26</f>
        <v>0</v>
      </c>
    </row>
    <row r="29" spans="1:3">
      <c r="B29" s="220"/>
      <c r="C29" s="220"/>
    </row>
    <row r="30" spans="1:3">
      <c r="B30" s="220"/>
      <c r="C30" s="220"/>
    </row>
  </sheetData>
  <pageMargins left="0.7" right="0.7" top="0.75" bottom="0.75" header="0.3" footer="0.3"/>
  <pageSetup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opLeftCell="B1" workbookViewId="0">
      <selection activeCell="J32" sqref="J32"/>
    </sheetView>
  </sheetViews>
  <sheetFormatPr baseColWidth="10" defaultRowHeight="15"/>
  <cols>
    <col min="1" max="1" width="40" customWidth="1"/>
    <col min="5" max="5" width="25.28515625" customWidth="1"/>
    <col min="6" max="6" width="14.7109375" bestFit="1" customWidth="1"/>
    <col min="8" max="8" width="15.5703125" bestFit="1" customWidth="1"/>
    <col min="11" max="11" width="14.7109375" bestFit="1" customWidth="1"/>
    <col min="16" max="17" width="14.7109375" bestFit="1" customWidth="1"/>
    <col min="18" max="18" width="16.5703125" bestFit="1" customWidth="1"/>
  </cols>
  <sheetData>
    <row r="1" spans="1:18" ht="15.75" thickBot="1">
      <c r="A1" s="276" t="s">
        <v>368</v>
      </c>
      <c r="B1" s="276"/>
      <c r="C1" s="276"/>
      <c r="D1" s="276"/>
      <c r="E1" s="175" t="s">
        <v>369</v>
      </c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</row>
    <row r="2" spans="1:18">
      <c r="A2" s="174" t="s">
        <v>376</v>
      </c>
      <c r="B2" s="276"/>
      <c r="C2" s="276"/>
      <c r="D2" s="276"/>
      <c r="E2" s="276"/>
      <c r="F2" s="277"/>
      <c r="G2" s="277"/>
      <c r="H2" s="277"/>
      <c r="I2" s="277"/>
      <c r="J2" s="306"/>
      <c r="K2" s="307"/>
      <c r="L2" s="307"/>
      <c r="M2" s="307"/>
      <c r="N2" s="307"/>
      <c r="O2" s="307"/>
      <c r="P2" s="314"/>
      <c r="Q2" s="277"/>
      <c r="R2" s="277"/>
    </row>
    <row r="3" spans="1:18" ht="106.5">
      <c r="A3" s="278"/>
      <c r="B3" s="279"/>
      <c r="C3" s="279"/>
      <c r="D3" s="279"/>
      <c r="E3" s="280"/>
      <c r="F3" s="281" t="s">
        <v>253</v>
      </c>
      <c r="G3" s="281" t="s">
        <v>343</v>
      </c>
      <c r="H3" s="281" t="s">
        <v>280</v>
      </c>
      <c r="I3" s="282" t="s">
        <v>344</v>
      </c>
      <c r="J3" s="308" t="s">
        <v>345</v>
      </c>
      <c r="K3" s="281" t="s">
        <v>366</v>
      </c>
      <c r="L3" s="281" t="s">
        <v>346</v>
      </c>
      <c r="M3" s="281" t="s">
        <v>347</v>
      </c>
      <c r="N3" s="281" t="s">
        <v>348</v>
      </c>
      <c r="O3" s="282" t="s">
        <v>349</v>
      </c>
      <c r="P3" s="315" t="s">
        <v>281</v>
      </c>
      <c r="Q3" s="300" t="s">
        <v>254</v>
      </c>
      <c r="R3" s="281" t="s">
        <v>313</v>
      </c>
    </row>
    <row r="4" spans="1:18">
      <c r="A4" s="341" t="s">
        <v>365</v>
      </c>
      <c r="B4" s="342"/>
      <c r="C4" s="342"/>
      <c r="D4" s="342"/>
      <c r="E4" s="342"/>
      <c r="F4" s="287">
        <f>+'Libro Diario 2023 '!E32</f>
        <v>300000000</v>
      </c>
      <c r="G4" s="283">
        <v>0</v>
      </c>
      <c r="H4" s="287">
        <f>-'Libro Diario 2023 '!D17-'Libro Diario 2023 '!D18</f>
        <v>-180000000</v>
      </c>
      <c r="I4" s="294">
        <v>0</v>
      </c>
      <c r="J4" s="309"/>
      <c r="K4" s="287">
        <f>+'Libro Diario 2023 '!E33</f>
        <v>200000000</v>
      </c>
      <c r="L4" s="283"/>
      <c r="M4" s="283">
        <v>0</v>
      </c>
      <c r="N4" s="283"/>
      <c r="O4" s="294">
        <v>0</v>
      </c>
      <c r="P4" s="316">
        <f>SUM(J4:O4)</f>
        <v>200000000</v>
      </c>
      <c r="Q4" s="301">
        <f>+'Libro Diario 2023 '!E34-'Libro Diario 2023 '!D19</f>
        <v>407832786.52380955</v>
      </c>
      <c r="R4" s="287">
        <f>+F4+G4+H4+I4+P4+Q4</f>
        <v>727832786.52380955</v>
      </c>
    </row>
    <row r="5" spans="1:18">
      <c r="A5" s="349" t="s">
        <v>350</v>
      </c>
      <c r="B5" s="344"/>
      <c r="C5" s="344"/>
      <c r="D5" s="344"/>
      <c r="E5" s="344"/>
      <c r="F5" s="283"/>
      <c r="G5" s="283"/>
      <c r="H5" s="283"/>
      <c r="I5" s="294"/>
      <c r="J5" s="309"/>
      <c r="K5" s="283"/>
      <c r="L5" s="283"/>
      <c r="M5" s="283"/>
      <c r="N5" s="283"/>
      <c r="O5" s="294"/>
      <c r="P5" s="317">
        <f>SUM(J5:O5)</f>
        <v>0</v>
      </c>
      <c r="Q5" s="302"/>
      <c r="R5" s="287">
        <f t="shared" ref="R5:R6" si="0">+F5+G5+H5+I5+P5+Q5</f>
        <v>0</v>
      </c>
    </row>
    <row r="6" spans="1:18" ht="15.75" thickBot="1">
      <c r="A6" s="349" t="s">
        <v>351</v>
      </c>
      <c r="B6" s="344"/>
      <c r="C6" s="344"/>
      <c r="D6" s="344"/>
      <c r="E6" s="344"/>
      <c r="F6" s="288"/>
      <c r="G6" s="288"/>
      <c r="H6" s="288"/>
      <c r="I6" s="295"/>
      <c r="J6" s="310"/>
      <c r="K6" s="288"/>
      <c r="L6" s="288"/>
      <c r="M6" s="288"/>
      <c r="N6" s="288"/>
      <c r="O6" s="295"/>
      <c r="P6" s="318">
        <f>SUM(J6:O6)</f>
        <v>0</v>
      </c>
      <c r="Q6" s="303"/>
      <c r="R6" s="287">
        <f t="shared" si="0"/>
        <v>0</v>
      </c>
    </row>
    <row r="7" spans="1:18" ht="15.75" thickBot="1">
      <c r="A7" s="349" t="s">
        <v>352</v>
      </c>
      <c r="B7" s="354"/>
      <c r="C7" s="354"/>
      <c r="D7" s="354"/>
      <c r="E7" s="355"/>
      <c r="F7" s="289">
        <f t="shared" ref="F7:Q7" si="1">SUM(F4:F6)</f>
        <v>300000000</v>
      </c>
      <c r="G7" s="290">
        <f t="shared" si="1"/>
        <v>0</v>
      </c>
      <c r="H7" s="291">
        <f>SUM(H4:H6)</f>
        <v>-180000000</v>
      </c>
      <c r="I7" s="296">
        <f t="shared" ref="I7:P7" si="2">SUM(I4:I6)</f>
        <v>0</v>
      </c>
      <c r="J7" s="289">
        <f t="shared" si="2"/>
        <v>0</v>
      </c>
      <c r="K7" s="291">
        <f t="shared" si="2"/>
        <v>200000000</v>
      </c>
      <c r="L7" s="291">
        <f t="shared" si="2"/>
        <v>0</v>
      </c>
      <c r="M7" s="291">
        <f t="shared" si="2"/>
        <v>0</v>
      </c>
      <c r="N7" s="291">
        <f t="shared" si="2"/>
        <v>0</v>
      </c>
      <c r="O7" s="296">
        <f t="shared" si="2"/>
        <v>0</v>
      </c>
      <c r="P7" s="312">
        <f t="shared" si="2"/>
        <v>200000000</v>
      </c>
      <c r="Q7" s="304">
        <f t="shared" si="1"/>
        <v>407832786.52380955</v>
      </c>
      <c r="R7" s="292">
        <f>+R4+R5+R6</f>
        <v>727832786.52380955</v>
      </c>
    </row>
    <row r="8" spans="1:18">
      <c r="A8" s="343" t="s">
        <v>353</v>
      </c>
      <c r="B8" s="344"/>
      <c r="C8" s="344"/>
      <c r="D8" s="344"/>
      <c r="E8" s="344"/>
      <c r="F8" s="287"/>
      <c r="G8" s="287"/>
      <c r="H8" s="287"/>
      <c r="I8" s="297"/>
      <c r="J8" s="311"/>
      <c r="K8" s="287"/>
      <c r="L8" s="287"/>
      <c r="M8" s="287"/>
      <c r="N8" s="287"/>
      <c r="O8" s="297"/>
      <c r="P8" s="316"/>
      <c r="Q8" s="301"/>
      <c r="R8" s="287"/>
    </row>
    <row r="9" spans="1:18">
      <c r="A9" s="284"/>
      <c r="B9" s="351" t="s">
        <v>354</v>
      </c>
      <c r="C9" s="352"/>
      <c r="D9" s="352"/>
      <c r="E9" s="353"/>
      <c r="F9" s="287"/>
      <c r="G9" s="287"/>
      <c r="H9" s="287"/>
      <c r="I9" s="297"/>
      <c r="J9" s="311"/>
      <c r="K9" s="287"/>
      <c r="L9" s="287"/>
      <c r="M9" s="287"/>
      <c r="N9" s="287"/>
      <c r="O9" s="297"/>
      <c r="P9" s="316"/>
      <c r="Q9" s="301"/>
      <c r="R9" s="287"/>
    </row>
    <row r="10" spans="1:18">
      <c r="A10" s="284"/>
      <c r="B10" s="285"/>
      <c r="C10" s="343" t="s">
        <v>258</v>
      </c>
      <c r="D10" s="344"/>
      <c r="E10" s="344"/>
      <c r="F10" s="287"/>
      <c r="G10" s="287"/>
      <c r="H10" s="287"/>
      <c r="I10" s="297"/>
      <c r="J10" s="311"/>
      <c r="K10" s="287"/>
      <c r="L10" s="287"/>
      <c r="M10" s="287"/>
      <c r="N10" s="287"/>
      <c r="O10" s="297"/>
      <c r="P10" s="316"/>
      <c r="Q10" s="301">
        <f>+'balance 2023 '!I71</f>
        <v>248415280.23869598</v>
      </c>
      <c r="R10" s="287">
        <f>+Q10</f>
        <v>248415280.23869598</v>
      </c>
    </row>
    <row r="11" spans="1:18" ht="15.75" thickBot="1">
      <c r="A11" s="284"/>
      <c r="B11" s="285"/>
      <c r="C11" s="343" t="s">
        <v>355</v>
      </c>
      <c r="D11" s="344"/>
      <c r="E11" s="344"/>
      <c r="F11" s="287"/>
      <c r="G11" s="287"/>
      <c r="H11" s="287"/>
      <c r="I11" s="297"/>
      <c r="J11" s="311"/>
      <c r="K11" s="287"/>
      <c r="L11" s="287"/>
      <c r="M11" s="287"/>
      <c r="N11" s="287"/>
      <c r="O11" s="297"/>
      <c r="P11" s="316"/>
      <c r="Q11" s="301"/>
      <c r="R11" s="287">
        <f>+P11</f>
        <v>0</v>
      </c>
    </row>
    <row r="12" spans="1:18" ht="15.75" thickBot="1">
      <c r="A12" s="284"/>
      <c r="B12" s="286"/>
      <c r="C12" s="345" t="s">
        <v>356</v>
      </c>
      <c r="D12" s="346"/>
      <c r="E12" s="346"/>
      <c r="F12" s="289"/>
      <c r="G12" s="289"/>
      <c r="H12" s="289"/>
      <c r="I12" s="298"/>
      <c r="J12" s="289"/>
      <c r="K12" s="289"/>
      <c r="L12" s="289"/>
      <c r="M12" s="289"/>
      <c r="N12" s="289"/>
      <c r="O12" s="298"/>
      <c r="P12" s="312"/>
      <c r="Q12" s="304">
        <f>+Q10+Q11</f>
        <v>248415280.23869598</v>
      </c>
      <c r="R12" s="289">
        <f>+R10+R11</f>
        <v>248415280.23869598</v>
      </c>
    </row>
    <row r="13" spans="1:18">
      <c r="A13" s="284"/>
      <c r="B13" s="347" t="s">
        <v>357</v>
      </c>
      <c r="C13" s="348"/>
      <c r="D13" s="348"/>
      <c r="E13" s="348"/>
      <c r="F13" s="287"/>
      <c r="G13" s="287"/>
      <c r="H13" s="287"/>
      <c r="I13" s="297"/>
      <c r="J13" s="311"/>
      <c r="K13" s="287"/>
      <c r="L13" s="287"/>
      <c r="M13" s="287"/>
      <c r="N13" s="287"/>
      <c r="O13" s="297"/>
      <c r="P13" s="316"/>
      <c r="Q13" s="301">
        <v>0</v>
      </c>
      <c r="R13" s="287">
        <f>+F13+G13+Q13</f>
        <v>0</v>
      </c>
    </row>
    <row r="14" spans="1:18">
      <c r="A14" s="284"/>
      <c r="B14" s="347" t="s">
        <v>358</v>
      </c>
      <c r="C14" s="348"/>
      <c r="D14" s="348"/>
      <c r="E14" s="348"/>
      <c r="F14" s="287"/>
      <c r="G14" s="287"/>
      <c r="H14" s="287"/>
      <c r="I14" s="297"/>
      <c r="J14" s="311"/>
      <c r="K14" s="287"/>
      <c r="L14" s="287"/>
      <c r="M14" s="287"/>
      <c r="N14" s="287"/>
      <c r="O14" s="297"/>
      <c r="P14" s="316"/>
      <c r="Q14" s="301">
        <f>-'Libro Diario 2023 '!E132</f>
        <v>-52349835.95714286</v>
      </c>
      <c r="R14" s="287">
        <f>+Q14</f>
        <v>-52349835.95714286</v>
      </c>
    </row>
    <row r="15" spans="1:18">
      <c r="A15" s="284"/>
      <c r="B15" s="347" t="s">
        <v>359</v>
      </c>
      <c r="C15" s="348"/>
      <c r="D15" s="348"/>
      <c r="E15" s="348"/>
      <c r="F15" s="287"/>
      <c r="G15" s="287"/>
      <c r="H15" s="287">
        <f>+'cuentas T 2023'!B33</f>
        <v>150000000</v>
      </c>
      <c r="I15" s="297"/>
      <c r="J15" s="311"/>
      <c r="K15" s="287"/>
      <c r="L15" s="287"/>
      <c r="M15" s="287"/>
      <c r="N15" s="287"/>
      <c r="O15" s="297"/>
      <c r="P15" s="316"/>
      <c r="Q15" s="301">
        <v>0</v>
      </c>
      <c r="R15" s="287">
        <f>+F15+G15+H15+I15++P15+Q15</f>
        <v>150000000</v>
      </c>
    </row>
    <row r="16" spans="1:18">
      <c r="A16" s="284"/>
      <c r="B16" s="347" t="s">
        <v>360</v>
      </c>
      <c r="C16" s="348"/>
      <c r="D16" s="348"/>
      <c r="E16" s="348"/>
      <c r="F16" s="287"/>
      <c r="G16" s="287"/>
      <c r="H16" s="287"/>
      <c r="I16" s="297"/>
      <c r="J16" s="311"/>
      <c r="K16" s="287"/>
      <c r="L16" s="287"/>
      <c r="M16" s="287"/>
      <c r="N16" s="287"/>
      <c r="O16" s="297"/>
      <c r="P16" s="316"/>
      <c r="Q16" s="301">
        <v>0</v>
      </c>
      <c r="R16" s="287">
        <f>+F16+G16+I16+P16+Q16</f>
        <v>0</v>
      </c>
    </row>
    <row r="17" spans="1:18">
      <c r="A17" s="284"/>
      <c r="B17" s="347" t="s">
        <v>361</v>
      </c>
      <c r="C17" s="348"/>
      <c r="D17" s="348"/>
      <c r="E17" s="348"/>
      <c r="F17" s="287"/>
      <c r="G17" s="287"/>
      <c r="H17" s="287"/>
      <c r="I17" s="297"/>
      <c r="J17" s="311"/>
      <c r="K17" s="287"/>
      <c r="L17" s="287"/>
      <c r="M17" s="287"/>
      <c r="N17" s="287"/>
      <c r="O17" s="297"/>
      <c r="P17" s="316"/>
      <c r="Q17" s="301">
        <f>-4015107*0</f>
        <v>0</v>
      </c>
      <c r="R17" s="287">
        <f>+F17+G17+I17+P17+Q17</f>
        <v>0</v>
      </c>
    </row>
    <row r="18" spans="1:18">
      <c r="A18" s="284"/>
      <c r="B18" s="347" t="s">
        <v>362</v>
      </c>
      <c r="C18" s="348"/>
      <c r="D18" s="348"/>
      <c r="E18" s="348"/>
      <c r="F18" s="287"/>
      <c r="G18" s="287"/>
      <c r="H18" s="287"/>
      <c r="I18" s="297"/>
      <c r="J18" s="311"/>
      <c r="K18" s="287"/>
      <c r="L18" s="287"/>
      <c r="M18" s="287"/>
      <c r="N18" s="287"/>
      <c r="O18" s="297"/>
      <c r="P18" s="316"/>
      <c r="Q18" s="301">
        <v>0</v>
      </c>
      <c r="R18" s="287">
        <f>+F18+G18+H18+Q18</f>
        <v>0</v>
      </c>
    </row>
    <row r="19" spans="1:18" ht="15.75" thickBot="1">
      <c r="A19" s="284"/>
      <c r="B19" s="347" t="s">
        <v>363</v>
      </c>
      <c r="C19" s="348"/>
      <c r="D19" s="348"/>
      <c r="E19" s="348"/>
      <c r="F19" s="293"/>
      <c r="G19" s="293"/>
      <c r="H19" s="293"/>
      <c r="I19" s="299"/>
      <c r="J19" s="313"/>
      <c r="K19" s="293"/>
      <c r="L19" s="293"/>
      <c r="M19" s="293"/>
      <c r="N19" s="293"/>
      <c r="O19" s="299"/>
      <c r="P19" s="319"/>
      <c r="Q19" s="305">
        <v>0</v>
      </c>
      <c r="R19" s="287">
        <f>+Q19</f>
        <v>0</v>
      </c>
    </row>
    <row r="20" spans="1:18" ht="15.75" thickBot="1">
      <c r="A20" s="349" t="s">
        <v>364</v>
      </c>
      <c r="B20" s="344"/>
      <c r="C20" s="344"/>
      <c r="D20" s="344"/>
      <c r="E20" s="350"/>
      <c r="F20" s="289">
        <f>SUM(F12:F19)</f>
        <v>0</v>
      </c>
      <c r="G20" s="289">
        <f t="shared" ref="G20:R20" si="3">SUM(G12:G19)</f>
        <v>0</v>
      </c>
      <c r="H20" s="289">
        <f t="shared" si="3"/>
        <v>150000000</v>
      </c>
      <c r="I20" s="298">
        <f t="shared" si="3"/>
        <v>0</v>
      </c>
      <c r="J20" s="289">
        <f t="shared" si="3"/>
        <v>0</v>
      </c>
      <c r="K20" s="289">
        <f t="shared" si="3"/>
        <v>0</v>
      </c>
      <c r="L20" s="289">
        <f t="shared" si="3"/>
        <v>0</v>
      </c>
      <c r="M20" s="289">
        <f t="shared" si="3"/>
        <v>0</v>
      </c>
      <c r="N20" s="289">
        <f t="shared" si="3"/>
        <v>0</v>
      </c>
      <c r="O20" s="298">
        <f t="shared" si="3"/>
        <v>0</v>
      </c>
      <c r="P20" s="312">
        <f t="shared" si="3"/>
        <v>0</v>
      </c>
      <c r="Q20" s="304">
        <f t="shared" si="3"/>
        <v>196065444.28155312</v>
      </c>
      <c r="R20" s="289">
        <f t="shared" si="3"/>
        <v>346065444.28155315</v>
      </c>
    </row>
    <row r="21" spans="1:18" ht="15.75" thickBot="1">
      <c r="A21" s="341" t="s">
        <v>367</v>
      </c>
      <c r="B21" s="342"/>
      <c r="C21" s="342"/>
      <c r="D21" s="342"/>
      <c r="E21" s="342"/>
      <c r="F21" s="289">
        <f>+F7+F20</f>
        <v>300000000</v>
      </c>
      <c r="G21" s="289">
        <f t="shared" ref="G21:R21" si="4">+G7+G20</f>
        <v>0</v>
      </c>
      <c r="H21" s="289">
        <f t="shared" si="4"/>
        <v>-30000000</v>
      </c>
      <c r="I21" s="298">
        <f t="shared" si="4"/>
        <v>0</v>
      </c>
      <c r="J21" s="289">
        <f t="shared" si="4"/>
        <v>0</v>
      </c>
      <c r="K21" s="289">
        <f t="shared" si="4"/>
        <v>200000000</v>
      </c>
      <c r="L21" s="289">
        <f t="shared" si="4"/>
        <v>0</v>
      </c>
      <c r="M21" s="289">
        <f t="shared" si="4"/>
        <v>0</v>
      </c>
      <c r="N21" s="289">
        <f t="shared" si="4"/>
        <v>0</v>
      </c>
      <c r="O21" s="298">
        <f t="shared" si="4"/>
        <v>0</v>
      </c>
      <c r="P21" s="312">
        <f t="shared" si="4"/>
        <v>200000000</v>
      </c>
      <c r="Q21" s="304">
        <f t="shared" si="4"/>
        <v>603898230.8053627</v>
      </c>
      <c r="R21" s="289">
        <f t="shared" si="4"/>
        <v>1073898230.8053627</v>
      </c>
    </row>
  </sheetData>
  <mergeCells count="18">
    <mergeCell ref="B9:E9"/>
    <mergeCell ref="A4:E4"/>
    <mergeCell ref="A5:E5"/>
    <mergeCell ref="A6:E6"/>
    <mergeCell ref="A7:E7"/>
    <mergeCell ref="A8:E8"/>
    <mergeCell ref="A21:E21"/>
    <mergeCell ref="C10:E10"/>
    <mergeCell ref="C11:E11"/>
    <mergeCell ref="C12:E12"/>
    <mergeCell ref="B13:E13"/>
    <mergeCell ref="B14:E14"/>
    <mergeCell ref="B15:E15"/>
    <mergeCell ref="B16:E16"/>
    <mergeCell ref="B17:E17"/>
    <mergeCell ref="B18:E18"/>
    <mergeCell ref="B19:E19"/>
    <mergeCell ref="A20:E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54"/>
  <sheetViews>
    <sheetView showGridLines="0" topLeftCell="A130" zoomScale="98" zoomScaleNormal="98" workbookViewId="0">
      <selection activeCell="I127" sqref="I127"/>
    </sheetView>
  </sheetViews>
  <sheetFormatPr baseColWidth="10" defaultColWidth="11.42578125" defaultRowHeight="15"/>
  <cols>
    <col min="1" max="1" width="1.28515625" style="69" customWidth="1"/>
    <col min="2" max="2" width="1.7109375" style="69" customWidth="1"/>
    <col min="3" max="3" width="7.5703125" style="91" customWidth="1"/>
    <col min="4" max="4" width="46.42578125" style="92" bestFit="1" customWidth="1"/>
    <col min="5" max="5" width="21.7109375" style="93" customWidth="1"/>
    <col min="6" max="6" width="16.7109375" style="93" customWidth="1"/>
    <col min="7" max="8" width="13.140625" style="102" customWidth="1"/>
    <col min="9" max="9" width="23.28515625" style="103" customWidth="1"/>
    <col min="10" max="10" width="14" style="69" customWidth="1"/>
    <col min="11" max="11" width="12.28515625" style="69" bestFit="1" customWidth="1"/>
    <col min="12" max="251" width="11.42578125" style="69"/>
    <col min="252" max="254" width="11.42578125" style="69" customWidth="1"/>
    <col min="255" max="255" width="0.85546875" style="69" customWidth="1"/>
    <col min="256" max="256" width="47.42578125" style="69" bestFit="1" customWidth="1"/>
    <col min="257" max="259" width="11.42578125" style="69" customWidth="1"/>
    <col min="260" max="260" width="0.85546875" style="69" customWidth="1"/>
    <col min="261" max="261" width="16.7109375" style="69" bestFit="1" customWidth="1"/>
    <col min="262" max="262" width="0.85546875" style="69" customWidth="1"/>
    <col min="263" max="507" width="11.42578125" style="69"/>
    <col min="508" max="510" width="11.42578125" style="69" customWidth="1"/>
    <col min="511" max="511" width="0.85546875" style="69" customWidth="1"/>
    <col min="512" max="512" width="47.42578125" style="69" bestFit="1" customWidth="1"/>
    <col min="513" max="515" width="11.42578125" style="69" customWidth="1"/>
    <col min="516" max="516" width="0.85546875" style="69" customWidth="1"/>
    <col min="517" max="517" width="16.7109375" style="69" bestFit="1" customWidth="1"/>
    <col min="518" max="518" width="0.85546875" style="69" customWidth="1"/>
    <col min="519" max="763" width="11.42578125" style="69"/>
    <col min="764" max="766" width="11.42578125" style="69" customWidth="1"/>
    <col min="767" max="767" width="0.85546875" style="69" customWidth="1"/>
    <col min="768" max="768" width="47.42578125" style="69" bestFit="1" customWidth="1"/>
    <col min="769" max="771" width="11.42578125" style="69" customWidth="1"/>
    <col min="772" max="772" width="0.85546875" style="69" customWidth="1"/>
    <col min="773" max="773" width="16.7109375" style="69" bestFit="1" customWidth="1"/>
    <col min="774" max="774" width="0.85546875" style="69" customWidth="1"/>
    <col min="775" max="1019" width="11.42578125" style="69"/>
    <col min="1020" max="1022" width="11.42578125" style="69" customWidth="1"/>
    <col min="1023" max="1023" width="0.85546875" style="69" customWidth="1"/>
    <col min="1024" max="1024" width="47.42578125" style="69" bestFit="1" customWidth="1"/>
    <col min="1025" max="1027" width="11.42578125" style="69" customWidth="1"/>
    <col min="1028" max="1028" width="0.85546875" style="69" customWidth="1"/>
    <col min="1029" max="1029" width="16.7109375" style="69" bestFit="1" customWidth="1"/>
    <col min="1030" max="1030" width="0.85546875" style="69" customWidth="1"/>
    <col min="1031" max="1275" width="11.42578125" style="69"/>
    <col min="1276" max="1278" width="11.42578125" style="69" customWidth="1"/>
    <col min="1279" max="1279" width="0.85546875" style="69" customWidth="1"/>
    <col min="1280" max="1280" width="47.42578125" style="69" bestFit="1" customWidth="1"/>
    <col min="1281" max="1283" width="11.42578125" style="69" customWidth="1"/>
    <col min="1284" max="1284" width="0.85546875" style="69" customWidth="1"/>
    <col min="1285" max="1285" width="16.7109375" style="69" bestFit="1" customWidth="1"/>
    <col min="1286" max="1286" width="0.85546875" style="69" customWidth="1"/>
    <col min="1287" max="1531" width="11.42578125" style="69"/>
    <col min="1532" max="1534" width="11.42578125" style="69" customWidth="1"/>
    <col min="1535" max="1535" width="0.85546875" style="69" customWidth="1"/>
    <col min="1536" max="1536" width="47.42578125" style="69" bestFit="1" customWidth="1"/>
    <col min="1537" max="1539" width="11.42578125" style="69" customWidth="1"/>
    <col min="1540" max="1540" width="0.85546875" style="69" customWidth="1"/>
    <col min="1541" max="1541" width="16.7109375" style="69" bestFit="1" customWidth="1"/>
    <col min="1542" max="1542" width="0.85546875" style="69" customWidth="1"/>
    <col min="1543" max="1787" width="11.42578125" style="69"/>
    <col min="1788" max="1790" width="11.42578125" style="69" customWidth="1"/>
    <col min="1791" max="1791" width="0.85546875" style="69" customWidth="1"/>
    <col min="1792" max="1792" width="47.42578125" style="69" bestFit="1" customWidth="1"/>
    <col min="1793" max="1795" width="11.42578125" style="69" customWidth="1"/>
    <col min="1796" max="1796" width="0.85546875" style="69" customWidth="1"/>
    <col min="1797" max="1797" width="16.7109375" style="69" bestFit="1" customWidth="1"/>
    <col min="1798" max="1798" width="0.85546875" style="69" customWidth="1"/>
    <col min="1799" max="2043" width="11.42578125" style="69"/>
    <col min="2044" max="2046" width="11.42578125" style="69" customWidth="1"/>
    <col min="2047" max="2047" width="0.85546875" style="69" customWidth="1"/>
    <col min="2048" max="2048" width="47.42578125" style="69" bestFit="1" customWidth="1"/>
    <col min="2049" max="2051" width="11.42578125" style="69" customWidth="1"/>
    <col min="2052" max="2052" width="0.85546875" style="69" customWidth="1"/>
    <col min="2053" max="2053" width="16.7109375" style="69" bestFit="1" customWidth="1"/>
    <col min="2054" max="2054" width="0.85546875" style="69" customWidth="1"/>
    <col min="2055" max="2299" width="11.42578125" style="69"/>
    <col min="2300" max="2302" width="11.42578125" style="69" customWidth="1"/>
    <col min="2303" max="2303" width="0.85546875" style="69" customWidth="1"/>
    <col min="2304" max="2304" width="47.42578125" style="69" bestFit="1" customWidth="1"/>
    <col min="2305" max="2307" width="11.42578125" style="69" customWidth="1"/>
    <col min="2308" max="2308" width="0.85546875" style="69" customWidth="1"/>
    <col min="2309" max="2309" width="16.7109375" style="69" bestFit="1" customWidth="1"/>
    <col min="2310" max="2310" width="0.85546875" style="69" customWidth="1"/>
    <col min="2311" max="2555" width="11.42578125" style="69"/>
    <col min="2556" max="2558" width="11.42578125" style="69" customWidth="1"/>
    <col min="2559" max="2559" width="0.85546875" style="69" customWidth="1"/>
    <col min="2560" max="2560" width="47.42578125" style="69" bestFit="1" customWidth="1"/>
    <col min="2561" max="2563" width="11.42578125" style="69" customWidth="1"/>
    <col min="2564" max="2564" width="0.85546875" style="69" customWidth="1"/>
    <col min="2565" max="2565" width="16.7109375" style="69" bestFit="1" customWidth="1"/>
    <col min="2566" max="2566" width="0.85546875" style="69" customWidth="1"/>
    <col min="2567" max="2811" width="11.42578125" style="69"/>
    <col min="2812" max="2814" width="11.42578125" style="69" customWidth="1"/>
    <col min="2815" max="2815" width="0.85546875" style="69" customWidth="1"/>
    <col min="2816" max="2816" width="47.42578125" style="69" bestFit="1" customWidth="1"/>
    <col min="2817" max="2819" width="11.42578125" style="69" customWidth="1"/>
    <col min="2820" max="2820" width="0.85546875" style="69" customWidth="1"/>
    <col min="2821" max="2821" width="16.7109375" style="69" bestFit="1" customWidth="1"/>
    <col min="2822" max="2822" width="0.85546875" style="69" customWidth="1"/>
    <col min="2823" max="3067" width="11.42578125" style="69"/>
    <col min="3068" max="3070" width="11.42578125" style="69" customWidth="1"/>
    <col min="3071" max="3071" width="0.85546875" style="69" customWidth="1"/>
    <col min="3072" max="3072" width="47.42578125" style="69" bestFit="1" customWidth="1"/>
    <col min="3073" max="3075" width="11.42578125" style="69" customWidth="1"/>
    <col min="3076" max="3076" width="0.85546875" style="69" customWidth="1"/>
    <col min="3077" max="3077" width="16.7109375" style="69" bestFit="1" customWidth="1"/>
    <col min="3078" max="3078" width="0.85546875" style="69" customWidth="1"/>
    <col min="3079" max="3323" width="11.42578125" style="69"/>
    <col min="3324" max="3326" width="11.42578125" style="69" customWidth="1"/>
    <col min="3327" max="3327" width="0.85546875" style="69" customWidth="1"/>
    <col min="3328" max="3328" width="47.42578125" style="69" bestFit="1" customWidth="1"/>
    <col min="3329" max="3331" width="11.42578125" style="69" customWidth="1"/>
    <col min="3332" max="3332" width="0.85546875" style="69" customWidth="1"/>
    <col min="3333" max="3333" width="16.7109375" style="69" bestFit="1" customWidth="1"/>
    <col min="3334" max="3334" width="0.85546875" style="69" customWidth="1"/>
    <col min="3335" max="3579" width="11.42578125" style="69"/>
    <col min="3580" max="3582" width="11.42578125" style="69" customWidth="1"/>
    <col min="3583" max="3583" width="0.85546875" style="69" customWidth="1"/>
    <col min="3584" max="3584" width="47.42578125" style="69" bestFit="1" customWidth="1"/>
    <col min="3585" max="3587" width="11.42578125" style="69" customWidth="1"/>
    <col min="3588" max="3588" width="0.85546875" style="69" customWidth="1"/>
    <col min="3589" max="3589" width="16.7109375" style="69" bestFit="1" customWidth="1"/>
    <col min="3590" max="3590" width="0.85546875" style="69" customWidth="1"/>
    <col min="3591" max="3835" width="11.42578125" style="69"/>
    <col min="3836" max="3838" width="11.42578125" style="69" customWidth="1"/>
    <col min="3839" max="3839" width="0.85546875" style="69" customWidth="1"/>
    <col min="3840" max="3840" width="47.42578125" style="69" bestFit="1" customWidth="1"/>
    <col min="3841" max="3843" width="11.42578125" style="69" customWidth="1"/>
    <col min="3844" max="3844" width="0.85546875" style="69" customWidth="1"/>
    <col min="3845" max="3845" width="16.7109375" style="69" bestFit="1" customWidth="1"/>
    <col min="3846" max="3846" width="0.85546875" style="69" customWidth="1"/>
    <col min="3847" max="4091" width="11.42578125" style="69"/>
    <col min="4092" max="4094" width="11.42578125" style="69" customWidth="1"/>
    <col min="4095" max="4095" width="0.85546875" style="69" customWidth="1"/>
    <col min="4096" max="4096" width="47.42578125" style="69" bestFit="1" customWidth="1"/>
    <col min="4097" max="4099" width="11.42578125" style="69" customWidth="1"/>
    <col min="4100" max="4100" width="0.85546875" style="69" customWidth="1"/>
    <col min="4101" max="4101" width="16.7109375" style="69" bestFit="1" customWidth="1"/>
    <col min="4102" max="4102" width="0.85546875" style="69" customWidth="1"/>
    <col min="4103" max="4347" width="11.42578125" style="69"/>
    <col min="4348" max="4350" width="11.42578125" style="69" customWidth="1"/>
    <col min="4351" max="4351" width="0.85546875" style="69" customWidth="1"/>
    <col min="4352" max="4352" width="47.42578125" style="69" bestFit="1" customWidth="1"/>
    <col min="4353" max="4355" width="11.42578125" style="69" customWidth="1"/>
    <col min="4356" max="4356" width="0.85546875" style="69" customWidth="1"/>
    <col min="4357" max="4357" width="16.7109375" style="69" bestFit="1" customWidth="1"/>
    <col min="4358" max="4358" width="0.85546875" style="69" customWidth="1"/>
    <col min="4359" max="4603" width="11.42578125" style="69"/>
    <col min="4604" max="4606" width="11.42578125" style="69" customWidth="1"/>
    <col min="4607" max="4607" width="0.85546875" style="69" customWidth="1"/>
    <col min="4608" max="4608" width="47.42578125" style="69" bestFit="1" customWidth="1"/>
    <col min="4609" max="4611" width="11.42578125" style="69" customWidth="1"/>
    <col min="4612" max="4612" width="0.85546875" style="69" customWidth="1"/>
    <col min="4613" max="4613" width="16.7109375" style="69" bestFit="1" customWidth="1"/>
    <col min="4614" max="4614" width="0.85546875" style="69" customWidth="1"/>
    <col min="4615" max="4859" width="11.42578125" style="69"/>
    <col min="4860" max="4862" width="11.42578125" style="69" customWidth="1"/>
    <col min="4863" max="4863" width="0.85546875" style="69" customWidth="1"/>
    <col min="4864" max="4864" width="47.42578125" style="69" bestFit="1" customWidth="1"/>
    <col min="4865" max="4867" width="11.42578125" style="69" customWidth="1"/>
    <col min="4868" max="4868" width="0.85546875" style="69" customWidth="1"/>
    <col min="4869" max="4869" width="16.7109375" style="69" bestFit="1" customWidth="1"/>
    <col min="4870" max="4870" width="0.85546875" style="69" customWidth="1"/>
    <col min="4871" max="5115" width="11.42578125" style="69"/>
    <col min="5116" max="5118" width="11.42578125" style="69" customWidth="1"/>
    <col min="5119" max="5119" width="0.85546875" style="69" customWidth="1"/>
    <col min="5120" max="5120" width="47.42578125" style="69" bestFit="1" customWidth="1"/>
    <col min="5121" max="5123" width="11.42578125" style="69" customWidth="1"/>
    <col min="5124" max="5124" width="0.85546875" style="69" customWidth="1"/>
    <col min="5125" max="5125" width="16.7109375" style="69" bestFit="1" customWidth="1"/>
    <col min="5126" max="5126" width="0.85546875" style="69" customWidth="1"/>
    <col min="5127" max="5371" width="11.42578125" style="69"/>
    <col min="5372" max="5374" width="11.42578125" style="69" customWidth="1"/>
    <col min="5375" max="5375" width="0.85546875" style="69" customWidth="1"/>
    <col min="5376" max="5376" width="47.42578125" style="69" bestFit="1" customWidth="1"/>
    <col min="5377" max="5379" width="11.42578125" style="69" customWidth="1"/>
    <col min="5380" max="5380" width="0.85546875" style="69" customWidth="1"/>
    <col min="5381" max="5381" width="16.7109375" style="69" bestFit="1" customWidth="1"/>
    <col min="5382" max="5382" width="0.85546875" style="69" customWidth="1"/>
    <col min="5383" max="5627" width="11.42578125" style="69"/>
    <col min="5628" max="5630" width="11.42578125" style="69" customWidth="1"/>
    <col min="5631" max="5631" width="0.85546875" style="69" customWidth="1"/>
    <col min="5632" max="5632" width="47.42578125" style="69" bestFit="1" customWidth="1"/>
    <col min="5633" max="5635" width="11.42578125" style="69" customWidth="1"/>
    <col min="5636" max="5636" width="0.85546875" style="69" customWidth="1"/>
    <col min="5637" max="5637" width="16.7109375" style="69" bestFit="1" customWidth="1"/>
    <col min="5638" max="5638" width="0.85546875" style="69" customWidth="1"/>
    <col min="5639" max="5883" width="11.42578125" style="69"/>
    <col min="5884" max="5886" width="11.42578125" style="69" customWidth="1"/>
    <col min="5887" max="5887" width="0.85546875" style="69" customWidth="1"/>
    <col min="5888" max="5888" width="47.42578125" style="69" bestFit="1" customWidth="1"/>
    <col min="5889" max="5891" width="11.42578125" style="69" customWidth="1"/>
    <col min="5892" max="5892" width="0.85546875" style="69" customWidth="1"/>
    <col min="5893" max="5893" width="16.7109375" style="69" bestFit="1" customWidth="1"/>
    <col min="5894" max="5894" width="0.85546875" style="69" customWidth="1"/>
    <col min="5895" max="6139" width="11.42578125" style="69"/>
    <col min="6140" max="6142" width="11.42578125" style="69" customWidth="1"/>
    <col min="6143" max="6143" width="0.85546875" style="69" customWidth="1"/>
    <col min="6144" max="6144" width="47.42578125" style="69" bestFit="1" customWidth="1"/>
    <col min="6145" max="6147" width="11.42578125" style="69" customWidth="1"/>
    <col min="6148" max="6148" width="0.85546875" style="69" customWidth="1"/>
    <col min="6149" max="6149" width="16.7109375" style="69" bestFit="1" customWidth="1"/>
    <col min="6150" max="6150" width="0.85546875" style="69" customWidth="1"/>
    <col min="6151" max="6395" width="11.42578125" style="69"/>
    <col min="6396" max="6398" width="11.42578125" style="69" customWidth="1"/>
    <col min="6399" max="6399" width="0.85546875" style="69" customWidth="1"/>
    <col min="6400" max="6400" width="47.42578125" style="69" bestFit="1" customWidth="1"/>
    <col min="6401" max="6403" width="11.42578125" style="69" customWidth="1"/>
    <col min="6404" max="6404" width="0.85546875" style="69" customWidth="1"/>
    <col min="6405" max="6405" width="16.7109375" style="69" bestFit="1" customWidth="1"/>
    <col min="6406" max="6406" width="0.85546875" style="69" customWidth="1"/>
    <col min="6407" max="6651" width="11.42578125" style="69"/>
    <col min="6652" max="6654" width="11.42578125" style="69" customWidth="1"/>
    <col min="6655" max="6655" width="0.85546875" style="69" customWidth="1"/>
    <col min="6656" max="6656" width="47.42578125" style="69" bestFit="1" customWidth="1"/>
    <col min="6657" max="6659" width="11.42578125" style="69" customWidth="1"/>
    <col min="6660" max="6660" width="0.85546875" style="69" customWidth="1"/>
    <col min="6661" max="6661" width="16.7109375" style="69" bestFit="1" customWidth="1"/>
    <col min="6662" max="6662" width="0.85546875" style="69" customWidth="1"/>
    <col min="6663" max="6907" width="11.42578125" style="69"/>
    <col min="6908" max="6910" width="11.42578125" style="69" customWidth="1"/>
    <col min="6911" max="6911" width="0.85546875" style="69" customWidth="1"/>
    <col min="6912" max="6912" width="47.42578125" style="69" bestFit="1" customWidth="1"/>
    <col min="6913" max="6915" width="11.42578125" style="69" customWidth="1"/>
    <col min="6916" max="6916" width="0.85546875" style="69" customWidth="1"/>
    <col min="6917" max="6917" width="16.7109375" style="69" bestFit="1" customWidth="1"/>
    <col min="6918" max="6918" width="0.85546875" style="69" customWidth="1"/>
    <col min="6919" max="7163" width="11.42578125" style="69"/>
    <col min="7164" max="7166" width="11.42578125" style="69" customWidth="1"/>
    <col min="7167" max="7167" width="0.85546875" style="69" customWidth="1"/>
    <col min="7168" max="7168" width="47.42578125" style="69" bestFit="1" customWidth="1"/>
    <col min="7169" max="7171" width="11.42578125" style="69" customWidth="1"/>
    <col min="7172" max="7172" width="0.85546875" style="69" customWidth="1"/>
    <col min="7173" max="7173" width="16.7109375" style="69" bestFit="1" customWidth="1"/>
    <col min="7174" max="7174" width="0.85546875" style="69" customWidth="1"/>
    <col min="7175" max="7419" width="11.42578125" style="69"/>
    <col min="7420" max="7422" width="11.42578125" style="69" customWidth="1"/>
    <col min="7423" max="7423" width="0.85546875" style="69" customWidth="1"/>
    <col min="7424" max="7424" width="47.42578125" style="69" bestFit="1" customWidth="1"/>
    <col min="7425" max="7427" width="11.42578125" style="69" customWidth="1"/>
    <col min="7428" max="7428" width="0.85546875" style="69" customWidth="1"/>
    <col min="7429" max="7429" width="16.7109375" style="69" bestFit="1" customWidth="1"/>
    <col min="7430" max="7430" width="0.85546875" style="69" customWidth="1"/>
    <col min="7431" max="7675" width="11.42578125" style="69"/>
    <col min="7676" max="7678" width="11.42578125" style="69" customWidth="1"/>
    <col min="7679" max="7679" width="0.85546875" style="69" customWidth="1"/>
    <col min="7680" max="7680" width="47.42578125" style="69" bestFit="1" customWidth="1"/>
    <col min="7681" max="7683" width="11.42578125" style="69" customWidth="1"/>
    <col min="7684" max="7684" width="0.85546875" style="69" customWidth="1"/>
    <col min="7685" max="7685" width="16.7109375" style="69" bestFit="1" customWidth="1"/>
    <col min="7686" max="7686" width="0.85546875" style="69" customWidth="1"/>
    <col min="7687" max="7931" width="11.42578125" style="69"/>
    <col min="7932" max="7934" width="11.42578125" style="69" customWidth="1"/>
    <col min="7935" max="7935" width="0.85546875" style="69" customWidth="1"/>
    <col min="7936" max="7936" width="47.42578125" style="69" bestFit="1" customWidth="1"/>
    <col min="7937" max="7939" width="11.42578125" style="69" customWidth="1"/>
    <col min="7940" max="7940" width="0.85546875" style="69" customWidth="1"/>
    <col min="7941" max="7941" width="16.7109375" style="69" bestFit="1" customWidth="1"/>
    <col min="7942" max="7942" width="0.85546875" style="69" customWidth="1"/>
    <col min="7943" max="8187" width="11.42578125" style="69"/>
    <col min="8188" max="8190" width="11.42578125" style="69" customWidth="1"/>
    <col min="8191" max="8191" width="0.85546875" style="69" customWidth="1"/>
    <col min="8192" max="8192" width="47.42578125" style="69" bestFit="1" customWidth="1"/>
    <col min="8193" max="8195" width="11.42578125" style="69" customWidth="1"/>
    <col min="8196" max="8196" width="0.85546875" style="69" customWidth="1"/>
    <col min="8197" max="8197" width="16.7109375" style="69" bestFit="1" customWidth="1"/>
    <col min="8198" max="8198" width="0.85546875" style="69" customWidth="1"/>
    <col min="8199" max="8443" width="11.42578125" style="69"/>
    <col min="8444" max="8446" width="11.42578125" style="69" customWidth="1"/>
    <col min="8447" max="8447" width="0.85546875" style="69" customWidth="1"/>
    <col min="8448" max="8448" width="47.42578125" style="69" bestFit="1" customWidth="1"/>
    <col min="8449" max="8451" width="11.42578125" style="69" customWidth="1"/>
    <col min="8452" max="8452" width="0.85546875" style="69" customWidth="1"/>
    <col min="8453" max="8453" width="16.7109375" style="69" bestFit="1" customWidth="1"/>
    <col min="8454" max="8454" width="0.85546875" style="69" customWidth="1"/>
    <col min="8455" max="8699" width="11.42578125" style="69"/>
    <col min="8700" max="8702" width="11.42578125" style="69" customWidth="1"/>
    <col min="8703" max="8703" width="0.85546875" style="69" customWidth="1"/>
    <col min="8704" max="8704" width="47.42578125" style="69" bestFit="1" customWidth="1"/>
    <col min="8705" max="8707" width="11.42578125" style="69" customWidth="1"/>
    <col min="8708" max="8708" width="0.85546875" style="69" customWidth="1"/>
    <col min="8709" max="8709" width="16.7109375" style="69" bestFit="1" customWidth="1"/>
    <col min="8710" max="8710" width="0.85546875" style="69" customWidth="1"/>
    <col min="8711" max="8955" width="11.42578125" style="69"/>
    <col min="8956" max="8958" width="11.42578125" style="69" customWidth="1"/>
    <col min="8959" max="8959" width="0.85546875" style="69" customWidth="1"/>
    <col min="8960" max="8960" width="47.42578125" style="69" bestFit="1" customWidth="1"/>
    <col min="8961" max="8963" width="11.42578125" style="69" customWidth="1"/>
    <col min="8964" max="8964" width="0.85546875" style="69" customWidth="1"/>
    <col min="8965" max="8965" width="16.7109375" style="69" bestFit="1" customWidth="1"/>
    <col min="8966" max="8966" width="0.85546875" style="69" customWidth="1"/>
    <col min="8967" max="9211" width="11.42578125" style="69"/>
    <col min="9212" max="9214" width="11.42578125" style="69" customWidth="1"/>
    <col min="9215" max="9215" width="0.85546875" style="69" customWidth="1"/>
    <col min="9216" max="9216" width="47.42578125" style="69" bestFit="1" customWidth="1"/>
    <col min="9217" max="9219" width="11.42578125" style="69" customWidth="1"/>
    <col min="9220" max="9220" width="0.85546875" style="69" customWidth="1"/>
    <col min="9221" max="9221" width="16.7109375" style="69" bestFit="1" customWidth="1"/>
    <col min="9222" max="9222" width="0.85546875" style="69" customWidth="1"/>
    <col min="9223" max="9467" width="11.42578125" style="69"/>
    <col min="9468" max="9470" width="11.42578125" style="69" customWidth="1"/>
    <col min="9471" max="9471" width="0.85546875" style="69" customWidth="1"/>
    <col min="9472" max="9472" width="47.42578125" style="69" bestFit="1" customWidth="1"/>
    <col min="9473" max="9475" width="11.42578125" style="69" customWidth="1"/>
    <col min="9476" max="9476" width="0.85546875" style="69" customWidth="1"/>
    <col min="9477" max="9477" width="16.7109375" style="69" bestFit="1" customWidth="1"/>
    <col min="9478" max="9478" width="0.85546875" style="69" customWidth="1"/>
    <col min="9479" max="9723" width="11.42578125" style="69"/>
    <col min="9724" max="9726" width="11.42578125" style="69" customWidth="1"/>
    <col min="9727" max="9727" width="0.85546875" style="69" customWidth="1"/>
    <col min="9728" max="9728" width="47.42578125" style="69" bestFit="1" customWidth="1"/>
    <col min="9729" max="9731" width="11.42578125" style="69" customWidth="1"/>
    <col min="9732" max="9732" width="0.85546875" style="69" customWidth="1"/>
    <col min="9733" max="9733" width="16.7109375" style="69" bestFit="1" customWidth="1"/>
    <col min="9734" max="9734" width="0.85546875" style="69" customWidth="1"/>
    <col min="9735" max="9979" width="11.42578125" style="69"/>
    <col min="9980" max="9982" width="11.42578125" style="69" customWidth="1"/>
    <col min="9983" max="9983" width="0.85546875" style="69" customWidth="1"/>
    <col min="9984" max="9984" width="47.42578125" style="69" bestFit="1" customWidth="1"/>
    <col min="9985" max="9987" width="11.42578125" style="69" customWidth="1"/>
    <col min="9988" max="9988" width="0.85546875" style="69" customWidth="1"/>
    <col min="9989" max="9989" width="16.7109375" style="69" bestFit="1" customWidth="1"/>
    <col min="9990" max="9990" width="0.85546875" style="69" customWidth="1"/>
    <col min="9991" max="10235" width="11.42578125" style="69"/>
    <col min="10236" max="10238" width="11.42578125" style="69" customWidth="1"/>
    <col min="10239" max="10239" width="0.85546875" style="69" customWidth="1"/>
    <col min="10240" max="10240" width="47.42578125" style="69" bestFit="1" customWidth="1"/>
    <col min="10241" max="10243" width="11.42578125" style="69" customWidth="1"/>
    <col min="10244" max="10244" width="0.85546875" style="69" customWidth="1"/>
    <col min="10245" max="10245" width="16.7109375" style="69" bestFit="1" customWidth="1"/>
    <col min="10246" max="10246" width="0.85546875" style="69" customWidth="1"/>
    <col min="10247" max="10491" width="11.42578125" style="69"/>
    <col min="10492" max="10494" width="11.42578125" style="69" customWidth="1"/>
    <col min="10495" max="10495" width="0.85546875" style="69" customWidth="1"/>
    <col min="10496" max="10496" width="47.42578125" style="69" bestFit="1" customWidth="1"/>
    <col min="10497" max="10499" width="11.42578125" style="69" customWidth="1"/>
    <col min="10500" max="10500" width="0.85546875" style="69" customWidth="1"/>
    <col min="10501" max="10501" width="16.7109375" style="69" bestFit="1" customWidth="1"/>
    <col min="10502" max="10502" width="0.85546875" style="69" customWidth="1"/>
    <col min="10503" max="10747" width="11.42578125" style="69"/>
    <col min="10748" max="10750" width="11.42578125" style="69" customWidth="1"/>
    <col min="10751" max="10751" width="0.85546875" style="69" customWidth="1"/>
    <col min="10752" max="10752" width="47.42578125" style="69" bestFit="1" customWidth="1"/>
    <col min="10753" max="10755" width="11.42578125" style="69" customWidth="1"/>
    <col min="10756" max="10756" width="0.85546875" style="69" customWidth="1"/>
    <col min="10757" max="10757" width="16.7109375" style="69" bestFit="1" customWidth="1"/>
    <col min="10758" max="10758" width="0.85546875" style="69" customWidth="1"/>
    <col min="10759" max="11003" width="11.42578125" style="69"/>
    <col min="11004" max="11006" width="11.42578125" style="69" customWidth="1"/>
    <col min="11007" max="11007" width="0.85546875" style="69" customWidth="1"/>
    <col min="11008" max="11008" width="47.42578125" style="69" bestFit="1" customWidth="1"/>
    <col min="11009" max="11011" width="11.42578125" style="69" customWidth="1"/>
    <col min="11012" max="11012" width="0.85546875" style="69" customWidth="1"/>
    <col min="11013" max="11013" width="16.7109375" style="69" bestFit="1" customWidth="1"/>
    <col min="11014" max="11014" width="0.85546875" style="69" customWidth="1"/>
    <col min="11015" max="11259" width="11.42578125" style="69"/>
    <col min="11260" max="11262" width="11.42578125" style="69" customWidth="1"/>
    <col min="11263" max="11263" width="0.85546875" style="69" customWidth="1"/>
    <col min="11264" max="11264" width="47.42578125" style="69" bestFit="1" customWidth="1"/>
    <col min="11265" max="11267" width="11.42578125" style="69" customWidth="1"/>
    <col min="11268" max="11268" width="0.85546875" style="69" customWidth="1"/>
    <col min="11269" max="11269" width="16.7109375" style="69" bestFit="1" customWidth="1"/>
    <col min="11270" max="11270" width="0.85546875" style="69" customWidth="1"/>
    <col min="11271" max="11515" width="11.42578125" style="69"/>
    <col min="11516" max="11518" width="11.42578125" style="69" customWidth="1"/>
    <col min="11519" max="11519" width="0.85546875" style="69" customWidth="1"/>
    <col min="11520" max="11520" width="47.42578125" style="69" bestFit="1" customWidth="1"/>
    <col min="11521" max="11523" width="11.42578125" style="69" customWidth="1"/>
    <col min="11524" max="11524" width="0.85546875" style="69" customWidth="1"/>
    <col min="11525" max="11525" width="16.7109375" style="69" bestFit="1" customWidth="1"/>
    <col min="11526" max="11526" width="0.85546875" style="69" customWidth="1"/>
    <col min="11527" max="11771" width="11.42578125" style="69"/>
    <col min="11772" max="11774" width="11.42578125" style="69" customWidth="1"/>
    <col min="11775" max="11775" width="0.85546875" style="69" customWidth="1"/>
    <col min="11776" max="11776" width="47.42578125" style="69" bestFit="1" customWidth="1"/>
    <col min="11777" max="11779" width="11.42578125" style="69" customWidth="1"/>
    <col min="11780" max="11780" width="0.85546875" style="69" customWidth="1"/>
    <col min="11781" max="11781" width="16.7109375" style="69" bestFit="1" customWidth="1"/>
    <col min="11782" max="11782" width="0.85546875" style="69" customWidth="1"/>
    <col min="11783" max="12027" width="11.42578125" style="69"/>
    <col min="12028" max="12030" width="11.42578125" style="69" customWidth="1"/>
    <col min="12031" max="12031" width="0.85546875" style="69" customWidth="1"/>
    <col min="12032" max="12032" width="47.42578125" style="69" bestFit="1" customWidth="1"/>
    <col min="12033" max="12035" width="11.42578125" style="69" customWidth="1"/>
    <col min="12036" max="12036" width="0.85546875" style="69" customWidth="1"/>
    <col min="12037" max="12037" width="16.7109375" style="69" bestFit="1" customWidth="1"/>
    <col min="12038" max="12038" width="0.85546875" style="69" customWidth="1"/>
    <col min="12039" max="12283" width="11.42578125" style="69"/>
    <col min="12284" max="12286" width="11.42578125" style="69" customWidth="1"/>
    <col min="12287" max="12287" width="0.85546875" style="69" customWidth="1"/>
    <col min="12288" max="12288" width="47.42578125" style="69" bestFit="1" customWidth="1"/>
    <col min="12289" max="12291" width="11.42578125" style="69" customWidth="1"/>
    <col min="12292" max="12292" width="0.85546875" style="69" customWidth="1"/>
    <col min="12293" max="12293" width="16.7109375" style="69" bestFit="1" customWidth="1"/>
    <col min="12294" max="12294" width="0.85546875" style="69" customWidth="1"/>
    <col min="12295" max="12539" width="11.42578125" style="69"/>
    <col min="12540" max="12542" width="11.42578125" style="69" customWidth="1"/>
    <col min="12543" max="12543" width="0.85546875" style="69" customWidth="1"/>
    <col min="12544" max="12544" width="47.42578125" style="69" bestFit="1" customWidth="1"/>
    <col min="12545" max="12547" width="11.42578125" style="69" customWidth="1"/>
    <col min="12548" max="12548" width="0.85546875" style="69" customWidth="1"/>
    <col min="12549" max="12549" width="16.7109375" style="69" bestFit="1" customWidth="1"/>
    <col min="12550" max="12550" width="0.85546875" style="69" customWidth="1"/>
    <col min="12551" max="12795" width="11.42578125" style="69"/>
    <col min="12796" max="12798" width="11.42578125" style="69" customWidth="1"/>
    <col min="12799" max="12799" width="0.85546875" style="69" customWidth="1"/>
    <col min="12800" max="12800" width="47.42578125" style="69" bestFit="1" customWidth="1"/>
    <col min="12801" max="12803" width="11.42578125" style="69" customWidth="1"/>
    <col min="12804" max="12804" width="0.85546875" style="69" customWidth="1"/>
    <col min="12805" max="12805" width="16.7109375" style="69" bestFit="1" customWidth="1"/>
    <col min="12806" max="12806" width="0.85546875" style="69" customWidth="1"/>
    <col min="12807" max="13051" width="11.42578125" style="69"/>
    <col min="13052" max="13054" width="11.42578125" style="69" customWidth="1"/>
    <col min="13055" max="13055" width="0.85546875" style="69" customWidth="1"/>
    <col min="13056" max="13056" width="47.42578125" style="69" bestFit="1" customWidth="1"/>
    <col min="13057" max="13059" width="11.42578125" style="69" customWidth="1"/>
    <col min="13060" max="13060" width="0.85546875" style="69" customWidth="1"/>
    <col min="13061" max="13061" width="16.7109375" style="69" bestFit="1" customWidth="1"/>
    <col min="13062" max="13062" width="0.85546875" style="69" customWidth="1"/>
    <col min="13063" max="13307" width="11.42578125" style="69"/>
    <col min="13308" max="13310" width="11.42578125" style="69" customWidth="1"/>
    <col min="13311" max="13311" width="0.85546875" style="69" customWidth="1"/>
    <col min="13312" max="13312" width="47.42578125" style="69" bestFit="1" customWidth="1"/>
    <col min="13313" max="13315" width="11.42578125" style="69" customWidth="1"/>
    <col min="13316" max="13316" width="0.85546875" style="69" customWidth="1"/>
    <col min="13317" max="13317" width="16.7109375" style="69" bestFit="1" customWidth="1"/>
    <col min="13318" max="13318" width="0.85546875" style="69" customWidth="1"/>
    <col min="13319" max="13563" width="11.42578125" style="69"/>
    <col min="13564" max="13566" width="11.42578125" style="69" customWidth="1"/>
    <col min="13567" max="13567" width="0.85546875" style="69" customWidth="1"/>
    <col min="13568" max="13568" width="47.42578125" style="69" bestFit="1" customWidth="1"/>
    <col min="13569" max="13571" width="11.42578125" style="69" customWidth="1"/>
    <col min="13572" max="13572" width="0.85546875" style="69" customWidth="1"/>
    <col min="13573" max="13573" width="16.7109375" style="69" bestFit="1" customWidth="1"/>
    <col min="13574" max="13574" width="0.85546875" style="69" customWidth="1"/>
    <col min="13575" max="13819" width="11.42578125" style="69"/>
    <col min="13820" max="13822" width="11.42578125" style="69" customWidth="1"/>
    <col min="13823" max="13823" width="0.85546875" style="69" customWidth="1"/>
    <col min="13824" max="13824" width="47.42578125" style="69" bestFit="1" customWidth="1"/>
    <col min="13825" max="13827" width="11.42578125" style="69" customWidth="1"/>
    <col min="13828" max="13828" width="0.85546875" style="69" customWidth="1"/>
    <col min="13829" max="13829" width="16.7109375" style="69" bestFit="1" customWidth="1"/>
    <col min="13830" max="13830" width="0.85546875" style="69" customWidth="1"/>
    <col min="13831" max="14075" width="11.42578125" style="69"/>
    <col min="14076" max="14078" width="11.42578125" style="69" customWidth="1"/>
    <col min="14079" max="14079" width="0.85546875" style="69" customWidth="1"/>
    <col min="14080" max="14080" width="47.42578125" style="69" bestFit="1" customWidth="1"/>
    <col min="14081" max="14083" width="11.42578125" style="69" customWidth="1"/>
    <col min="14084" max="14084" width="0.85546875" style="69" customWidth="1"/>
    <col min="14085" max="14085" width="16.7109375" style="69" bestFit="1" customWidth="1"/>
    <col min="14086" max="14086" width="0.85546875" style="69" customWidth="1"/>
    <col min="14087" max="14331" width="11.42578125" style="69"/>
    <col min="14332" max="14334" width="11.42578125" style="69" customWidth="1"/>
    <col min="14335" max="14335" width="0.85546875" style="69" customWidth="1"/>
    <col min="14336" max="14336" width="47.42578125" style="69" bestFit="1" customWidth="1"/>
    <col min="14337" max="14339" width="11.42578125" style="69" customWidth="1"/>
    <col min="14340" max="14340" width="0.85546875" style="69" customWidth="1"/>
    <col min="14341" max="14341" width="16.7109375" style="69" bestFit="1" customWidth="1"/>
    <col min="14342" max="14342" width="0.85546875" style="69" customWidth="1"/>
    <col min="14343" max="14587" width="11.42578125" style="69"/>
    <col min="14588" max="14590" width="11.42578125" style="69" customWidth="1"/>
    <col min="14591" max="14591" width="0.85546875" style="69" customWidth="1"/>
    <col min="14592" max="14592" width="47.42578125" style="69" bestFit="1" customWidth="1"/>
    <col min="14593" max="14595" width="11.42578125" style="69" customWidth="1"/>
    <col min="14596" max="14596" width="0.85546875" style="69" customWidth="1"/>
    <col min="14597" max="14597" width="16.7109375" style="69" bestFit="1" customWidth="1"/>
    <col min="14598" max="14598" width="0.85546875" style="69" customWidth="1"/>
    <col min="14599" max="14843" width="11.42578125" style="69"/>
    <col min="14844" max="14846" width="11.42578125" style="69" customWidth="1"/>
    <col min="14847" max="14847" width="0.85546875" style="69" customWidth="1"/>
    <col min="14848" max="14848" width="47.42578125" style="69" bestFit="1" customWidth="1"/>
    <col min="14849" max="14851" width="11.42578125" style="69" customWidth="1"/>
    <col min="14852" max="14852" width="0.85546875" style="69" customWidth="1"/>
    <col min="14853" max="14853" width="16.7109375" style="69" bestFit="1" customWidth="1"/>
    <col min="14854" max="14854" width="0.85546875" style="69" customWidth="1"/>
    <col min="14855" max="15099" width="11.42578125" style="69"/>
    <col min="15100" max="15102" width="11.42578125" style="69" customWidth="1"/>
    <col min="15103" max="15103" width="0.85546875" style="69" customWidth="1"/>
    <col min="15104" max="15104" width="47.42578125" style="69" bestFit="1" customWidth="1"/>
    <col min="15105" max="15107" width="11.42578125" style="69" customWidth="1"/>
    <col min="15108" max="15108" width="0.85546875" style="69" customWidth="1"/>
    <col min="15109" max="15109" width="16.7109375" style="69" bestFit="1" customWidth="1"/>
    <col min="15110" max="15110" width="0.85546875" style="69" customWidth="1"/>
    <col min="15111" max="15355" width="11.42578125" style="69"/>
    <col min="15356" max="15358" width="11.42578125" style="69" customWidth="1"/>
    <col min="15359" max="15359" width="0.85546875" style="69" customWidth="1"/>
    <col min="15360" max="15360" width="47.42578125" style="69" bestFit="1" customWidth="1"/>
    <col min="15361" max="15363" width="11.42578125" style="69" customWidth="1"/>
    <col min="15364" max="15364" width="0.85546875" style="69" customWidth="1"/>
    <col min="15365" max="15365" width="16.7109375" style="69" bestFit="1" customWidth="1"/>
    <col min="15366" max="15366" width="0.85546875" style="69" customWidth="1"/>
    <col min="15367" max="15611" width="11.42578125" style="69"/>
    <col min="15612" max="15614" width="11.42578125" style="69" customWidth="1"/>
    <col min="15615" max="15615" width="0.85546875" style="69" customWidth="1"/>
    <col min="15616" max="15616" width="47.42578125" style="69" bestFit="1" customWidth="1"/>
    <col min="15617" max="15619" width="11.42578125" style="69" customWidth="1"/>
    <col min="15620" max="15620" width="0.85546875" style="69" customWidth="1"/>
    <col min="15621" max="15621" width="16.7109375" style="69" bestFit="1" customWidth="1"/>
    <col min="15622" max="15622" width="0.85546875" style="69" customWidth="1"/>
    <col min="15623" max="15867" width="11.42578125" style="69"/>
    <col min="15868" max="15870" width="11.42578125" style="69" customWidth="1"/>
    <col min="15871" max="15871" width="0.85546875" style="69" customWidth="1"/>
    <col min="15872" max="15872" width="47.42578125" style="69" bestFit="1" customWidth="1"/>
    <col min="15873" max="15875" width="11.42578125" style="69" customWidth="1"/>
    <col min="15876" max="15876" width="0.85546875" style="69" customWidth="1"/>
    <col min="15877" max="15877" width="16.7109375" style="69" bestFit="1" customWidth="1"/>
    <col min="15878" max="15878" width="0.85546875" style="69" customWidth="1"/>
    <col min="15879" max="16123" width="11.42578125" style="69"/>
    <col min="16124" max="16126" width="11.42578125" style="69" customWidth="1"/>
    <col min="16127" max="16127" width="0.85546875" style="69" customWidth="1"/>
    <col min="16128" max="16128" width="47.42578125" style="69" bestFit="1" customWidth="1"/>
    <col min="16129" max="16131" width="11.42578125" style="69" customWidth="1"/>
    <col min="16132" max="16132" width="0.85546875" style="69" customWidth="1"/>
    <col min="16133" max="16133" width="16.7109375" style="69" bestFit="1" customWidth="1"/>
    <col min="16134" max="16134" width="0.85546875" style="69" customWidth="1"/>
    <col min="16135" max="16384" width="11.42578125" style="69"/>
  </cols>
  <sheetData>
    <row r="1" spans="2:10" s="65" customFormat="1" ht="12.75">
      <c r="B1" s="64"/>
      <c r="D1" s="66"/>
      <c r="G1" s="67"/>
      <c r="H1" s="67"/>
      <c r="I1" s="67"/>
    </row>
    <row r="2" spans="2:10" s="65" customFormat="1" ht="12.75">
      <c r="D2" s="66"/>
      <c r="G2" s="67"/>
      <c r="H2" s="67"/>
      <c r="I2" s="67"/>
    </row>
    <row r="3" spans="2:10" s="65" customFormat="1" ht="15.75">
      <c r="C3" s="68" t="s">
        <v>377</v>
      </c>
      <c r="D3" s="66"/>
      <c r="G3" s="67"/>
      <c r="H3" s="67"/>
      <c r="I3" s="67"/>
    </row>
    <row r="4" spans="2:10">
      <c r="C4" s="70"/>
      <c r="D4" s="71"/>
      <c r="E4" s="72"/>
      <c r="F4" s="72"/>
      <c r="G4" s="73"/>
      <c r="H4" s="73"/>
      <c r="I4" s="74"/>
    </row>
    <row r="5" spans="2:10" ht="30" customHeight="1">
      <c r="C5" s="75"/>
      <c r="D5" s="324" t="s">
        <v>382</v>
      </c>
      <c r="E5" s="324"/>
      <c r="F5" s="76"/>
      <c r="G5" s="67"/>
      <c r="H5" s="67"/>
      <c r="I5" s="67"/>
    </row>
    <row r="6" spans="2:10" s="77" customFormat="1">
      <c r="D6" s="78" t="s">
        <v>116</v>
      </c>
      <c r="E6" s="79">
        <v>5000000</v>
      </c>
      <c r="F6" s="79"/>
      <c r="G6" s="67"/>
      <c r="H6" s="67"/>
      <c r="I6" s="67"/>
    </row>
    <row r="7" spans="2:10" s="77" customFormat="1">
      <c r="C7" s="80"/>
      <c r="D7" s="78" t="s">
        <v>106</v>
      </c>
      <c r="E7" s="79"/>
      <c r="F7" s="79"/>
      <c r="G7" s="67"/>
      <c r="H7" s="67"/>
      <c r="I7" s="67"/>
    </row>
    <row r="8" spans="2:10" s="77" customFormat="1">
      <c r="C8" s="81"/>
      <c r="D8" s="82" t="s">
        <v>107</v>
      </c>
      <c r="E8" s="79">
        <v>0</v>
      </c>
      <c r="F8" s="79"/>
      <c r="G8" s="67"/>
      <c r="H8" s="67"/>
      <c r="I8" s="67"/>
    </row>
    <row r="9" spans="2:10" s="77" customFormat="1">
      <c r="C9" s="80"/>
      <c r="D9" s="83"/>
      <c r="E9" s="79"/>
      <c r="F9" s="79"/>
      <c r="G9" s="67"/>
      <c r="H9" s="67"/>
      <c r="I9" s="67"/>
    </row>
    <row r="10" spans="2:10" s="77" customFormat="1">
      <c r="C10" s="81"/>
      <c r="D10" s="84" t="s">
        <v>108</v>
      </c>
      <c r="E10" s="85">
        <f>SUM(E6:E9)</f>
        <v>5000000</v>
      </c>
      <c r="F10" s="86"/>
      <c r="G10" s="67"/>
      <c r="H10" s="67"/>
      <c r="I10" s="67"/>
    </row>
    <row r="11" spans="2:10" s="77" customFormat="1" ht="15.75" thickBot="1">
      <c r="C11" s="81"/>
      <c r="D11" s="78" t="s">
        <v>119</v>
      </c>
      <c r="E11" s="87"/>
      <c r="F11" s="79"/>
      <c r="G11" s="67"/>
      <c r="H11" s="67"/>
      <c r="I11" s="67"/>
    </row>
    <row r="12" spans="2:10" s="77" customFormat="1" ht="15.75" customHeight="1" thickTop="1">
      <c r="C12" s="81"/>
      <c r="D12" s="78"/>
      <c r="E12" s="79">
        <f>SUM(E10:E11)</f>
        <v>5000000</v>
      </c>
      <c r="F12" s="79"/>
      <c r="G12" s="67"/>
      <c r="H12" s="67"/>
      <c r="I12" s="67"/>
    </row>
    <row r="13" spans="2:10" s="77" customFormat="1" ht="15" customHeight="1">
      <c r="C13" s="88"/>
      <c r="D13" s="89"/>
      <c r="E13" s="90"/>
      <c r="F13" s="86"/>
      <c r="G13" s="67"/>
      <c r="H13" s="67"/>
      <c r="I13" s="67"/>
    </row>
    <row r="14" spans="2:10">
      <c r="G14" s="67"/>
      <c r="H14" s="67"/>
      <c r="I14" s="67"/>
    </row>
    <row r="15" spans="2:10" ht="63.75" customHeight="1">
      <c r="D15" s="94" t="s">
        <v>171</v>
      </c>
      <c r="E15" s="95" t="s">
        <v>109</v>
      </c>
      <c r="F15" s="95" t="s">
        <v>110</v>
      </c>
      <c r="G15" s="94" t="s">
        <v>111</v>
      </c>
      <c r="H15" s="94" t="s">
        <v>112</v>
      </c>
      <c r="I15" s="94" t="s">
        <v>113</v>
      </c>
      <c r="J15" s="94" t="s">
        <v>118</v>
      </c>
    </row>
    <row r="16" spans="2:10" s="96" customFormat="1" ht="22.5" customHeight="1">
      <c r="C16" s="97"/>
      <c r="D16" s="98" t="s">
        <v>117</v>
      </c>
      <c r="E16" s="99">
        <v>10</v>
      </c>
      <c r="F16" s="99">
        <f>+E16*12</f>
        <v>120</v>
      </c>
      <c r="G16" s="100">
        <f>+E12</f>
        <v>5000000</v>
      </c>
      <c r="H16" s="100">
        <v>12</v>
      </c>
      <c r="I16" s="101">
        <f>+G16/F16*H16</f>
        <v>500000</v>
      </c>
      <c r="J16" s="101">
        <f>+G16-I16</f>
        <v>4500000</v>
      </c>
    </row>
    <row r="18" spans="4:10">
      <c r="D18" s="324" t="s">
        <v>383</v>
      </c>
      <c r="E18" s="324"/>
      <c r="F18" s="76"/>
      <c r="G18" s="67"/>
      <c r="H18" s="67"/>
      <c r="I18" s="67"/>
    </row>
    <row r="19" spans="4:10">
      <c r="D19" s="78" t="s">
        <v>116</v>
      </c>
      <c r="E19" s="79">
        <v>5000000</v>
      </c>
      <c r="F19" s="79"/>
      <c r="G19" s="67"/>
      <c r="H19" s="67"/>
      <c r="I19" s="67"/>
      <c r="J19" s="77"/>
    </row>
    <row r="20" spans="4:10">
      <c r="D20" s="78" t="s">
        <v>106</v>
      </c>
      <c r="E20" s="79"/>
      <c r="F20" s="79"/>
      <c r="G20" s="67"/>
      <c r="H20" s="67"/>
      <c r="I20" s="67"/>
      <c r="J20" s="77"/>
    </row>
    <row r="21" spans="4:10">
      <c r="D21" s="82" t="s">
        <v>107</v>
      </c>
      <c r="E21" s="79">
        <v>0</v>
      </c>
      <c r="F21" s="79"/>
      <c r="G21" s="67"/>
      <c r="H21" s="67"/>
      <c r="I21" s="67"/>
      <c r="J21" s="77"/>
    </row>
    <row r="22" spans="4:10">
      <c r="D22" s="83"/>
      <c r="E22" s="79"/>
      <c r="F22" s="79"/>
      <c r="G22" s="67"/>
      <c r="H22" s="67"/>
      <c r="I22" s="67"/>
      <c r="J22" s="77"/>
    </row>
    <row r="23" spans="4:10">
      <c r="D23" s="84" t="s">
        <v>108</v>
      </c>
      <c r="E23" s="85">
        <f>SUM(E19:E22)</f>
        <v>5000000</v>
      </c>
      <c r="F23" s="86"/>
      <c r="G23" s="67"/>
      <c r="H23" s="67"/>
      <c r="I23" s="67"/>
      <c r="J23" s="77"/>
    </row>
    <row r="24" spans="4:10" ht="15.75" thickBot="1">
      <c r="D24" s="78" t="s">
        <v>378</v>
      </c>
      <c r="E24" s="87">
        <f>+E23*12.5%</f>
        <v>625000</v>
      </c>
      <c r="F24" s="79"/>
      <c r="G24" s="67"/>
      <c r="H24" s="67"/>
      <c r="I24" s="67"/>
      <c r="J24" s="77"/>
    </row>
    <row r="25" spans="4:10" ht="15.75" thickTop="1">
      <c r="D25" s="78"/>
      <c r="E25" s="79">
        <f>SUM(E23:E24)</f>
        <v>5625000</v>
      </c>
      <c r="F25" s="79"/>
      <c r="G25" s="67"/>
      <c r="H25" s="67"/>
      <c r="I25" s="67"/>
      <c r="J25" s="77"/>
    </row>
    <row r="26" spans="4:10">
      <c r="D26" s="89"/>
      <c r="E26" s="90"/>
      <c r="F26" s="86"/>
      <c r="G26" s="67"/>
      <c r="H26" s="67"/>
      <c r="I26" s="67"/>
      <c r="J26" s="77"/>
    </row>
    <row r="27" spans="4:10">
      <c r="G27" s="67"/>
      <c r="H27" s="67"/>
      <c r="I27" s="67"/>
    </row>
    <row r="28" spans="4:10" ht="45">
      <c r="D28" s="94" t="s">
        <v>171</v>
      </c>
      <c r="E28" s="95" t="s">
        <v>109</v>
      </c>
      <c r="F28" s="95" t="s">
        <v>110</v>
      </c>
      <c r="G28" s="94" t="s">
        <v>111</v>
      </c>
      <c r="H28" s="94" t="s">
        <v>112</v>
      </c>
      <c r="I28" s="94" t="s">
        <v>113</v>
      </c>
      <c r="J28" s="94" t="s">
        <v>118</v>
      </c>
    </row>
    <row r="29" spans="4:10">
      <c r="D29" s="98" t="s">
        <v>117</v>
      </c>
      <c r="E29" s="99">
        <v>15</v>
      </c>
      <c r="F29" s="99">
        <f>12*E29</f>
        <v>180</v>
      </c>
      <c r="G29" s="100">
        <f>+E25</f>
        <v>5625000</v>
      </c>
      <c r="H29" s="100">
        <v>12</v>
      </c>
      <c r="I29" s="101">
        <f>+G29/F29*H29</f>
        <v>375000</v>
      </c>
      <c r="J29" s="101">
        <f>+G29-I29</f>
        <v>5250000</v>
      </c>
    </row>
    <row r="31" spans="4:10">
      <c r="D31" s="324" t="s">
        <v>384</v>
      </c>
      <c r="E31" s="324"/>
      <c r="F31" s="76"/>
      <c r="G31" s="67"/>
      <c r="H31" s="67"/>
      <c r="I31" s="67"/>
    </row>
    <row r="32" spans="4:10">
      <c r="D32" s="78"/>
      <c r="E32" s="79">
        <v>5000000</v>
      </c>
      <c r="F32" s="79"/>
      <c r="G32" s="67"/>
      <c r="H32" s="67"/>
      <c r="I32" s="67"/>
      <c r="J32" s="77"/>
    </row>
    <row r="33" spans="4:10">
      <c r="D33" s="78" t="s">
        <v>106</v>
      </c>
      <c r="E33" s="79"/>
      <c r="F33" s="79"/>
      <c r="G33" s="67"/>
      <c r="H33" s="67"/>
      <c r="I33" s="67"/>
      <c r="J33" s="77"/>
    </row>
    <row r="34" spans="4:10">
      <c r="D34" s="82" t="s">
        <v>107</v>
      </c>
      <c r="E34" s="79">
        <v>0</v>
      </c>
      <c r="F34" s="79"/>
      <c r="G34" s="67"/>
      <c r="H34" s="67"/>
      <c r="I34" s="67"/>
      <c r="J34" s="77"/>
    </row>
    <row r="35" spans="4:10">
      <c r="D35" s="83"/>
      <c r="E35" s="79"/>
      <c r="F35" s="79"/>
      <c r="G35" s="67"/>
      <c r="H35" s="67"/>
      <c r="I35" s="67"/>
      <c r="J35" s="77"/>
    </row>
    <row r="36" spans="4:10">
      <c r="D36" s="84" t="s">
        <v>108</v>
      </c>
      <c r="E36" s="85">
        <f>SUM(E32:E35)</f>
        <v>5000000</v>
      </c>
      <c r="F36" s="86"/>
      <c r="G36" s="67"/>
      <c r="H36" s="67"/>
      <c r="I36" s="67"/>
      <c r="J36" s="77"/>
    </row>
    <row r="37" spans="4:10" ht="15.75" thickBot="1">
      <c r="D37" s="78" t="s">
        <v>378</v>
      </c>
      <c r="E37" s="87">
        <f>+E36*12.5%</f>
        <v>625000</v>
      </c>
      <c r="F37" s="79"/>
      <c r="G37" s="67"/>
      <c r="H37" s="67"/>
      <c r="I37" s="67"/>
      <c r="J37" s="77"/>
    </row>
    <row r="38" spans="4:10" ht="15.75" thickTop="1">
      <c r="D38" s="78"/>
      <c r="E38" s="79">
        <f>SUM(E36:E37)</f>
        <v>5625000</v>
      </c>
      <c r="F38" s="79"/>
      <c r="G38" s="67"/>
      <c r="H38" s="67"/>
      <c r="I38" s="67"/>
      <c r="J38" s="77"/>
    </row>
    <row r="39" spans="4:10">
      <c r="D39" s="89"/>
      <c r="E39" s="90"/>
      <c r="F39" s="86"/>
      <c r="G39" s="67"/>
      <c r="H39" s="67"/>
      <c r="I39" s="67"/>
      <c r="J39" s="77"/>
    </row>
    <row r="40" spans="4:10">
      <c r="G40" s="67"/>
      <c r="H40" s="67"/>
      <c r="I40" s="67"/>
    </row>
    <row r="41" spans="4:10" ht="45">
      <c r="D41" s="94" t="s">
        <v>171</v>
      </c>
      <c r="E41" s="95" t="s">
        <v>109</v>
      </c>
      <c r="F41" s="95" t="s">
        <v>110</v>
      </c>
      <c r="G41" s="94" t="s">
        <v>111</v>
      </c>
      <c r="H41" s="94" t="s">
        <v>112</v>
      </c>
      <c r="I41" s="94" t="s">
        <v>113</v>
      </c>
      <c r="J41" s="94" t="s">
        <v>118</v>
      </c>
    </row>
    <row r="42" spans="4:10">
      <c r="D42" s="98" t="s">
        <v>117</v>
      </c>
      <c r="E42" s="99">
        <v>5</v>
      </c>
      <c r="F42" s="99">
        <f>12*E42</f>
        <v>60</v>
      </c>
      <c r="G42" s="100">
        <f>+E38</f>
        <v>5625000</v>
      </c>
      <c r="H42" s="100">
        <v>12</v>
      </c>
      <c r="I42" s="101">
        <f>+G42/F42*H42</f>
        <v>1125000</v>
      </c>
      <c r="J42" s="101">
        <f>+G42-I42</f>
        <v>4500000</v>
      </c>
    </row>
    <row r="47" spans="4:10">
      <c r="D47" s="324" t="s">
        <v>379</v>
      </c>
      <c r="E47" s="324"/>
      <c r="F47" s="76"/>
      <c r="G47" s="67"/>
      <c r="H47" s="67"/>
      <c r="I47" s="67"/>
    </row>
    <row r="48" spans="4:10">
      <c r="D48" s="78" t="s">
        <v>116</v>
      </c>
      <c r="E48" s="79">
        <v>12000000</v>
      </c>
      <c r="F48" s="79"/>
      <c r="G48" s="67"/>
      <c r="H48" s="67"/>
      <c r="I48" s="67"/>
      <c r="J48" s="77"/>
    </row>
    <row r="49" spans="4:10">
      <c r="D49" s="78" t="s">
        <v>106</v>
      </c>
      <c r="E49" s="79"/>
      <c r="F49" s="79"/>
      <c r="G49" s="67"/>
      <c r="H49" s="67"/>
      <c r="I49" s="67"/>
      <c r="J49" s="77"/>
    </row>
    <row r="50" spans="4:10">
      <c r="D50" s="82" t="s">
        <v>107</v>
      </c>
      <c r="E50" s="79">
        <v>0</v>
      </c>
      <c r="F50" s="79"/>
      <c r="G50" s="67"/>
      <c r="H50" s="67"/>
      <c r="I50" s="67"/>
      <c r="J50" s="77"/>
    </row>
    <row r="51" spans="4:10">
      <c r="D51" s="83"/>
      <c r="E51" s="79"/>
      <c r="F51" s="79"/>
      <c r="G51" s="67"/>
      <c r="H51" s="67"/>
      <c r="I51" s="67"/>
      <c r="J51" s="77"/>
    </row>
    <row r="52" spans="4:10">
      <c r="D52" s="84" t="s">
        <v>108</v>
      </c>
      <c r="E52" s="85">
        <f>SUM(E48:E51)</f>
        <v>12000000</v>
      </c>
      <c r="F52" s="86"/>
      <c r="G52" s="67"/>
      <c r="H52" s="67"/>
      <c r="I52" s="67"/>
      <c r="J52" s="77"/>
    </row>
    <row r="53" spans="4:10" ht="15.75" thickBot="1">
      <c r="D53" s="78" t="s">
        <v>119</v>
      </c>
      <c r="E53" s="87"/>
      <c r="F53" s="79"/>
      <c r="G53" s="67"/>
      <c r="H53" s="67"/>
      <c r="I53" s="67"/>
      <c r="J53" s="77"/>
    </row>
    <row r="54" spans="4:10" ht="15.75" thickTop="1">
      <c r="D54" s="78"/>
      <c r="E54" s="79">
        <f>SUM(E52:E53)</f>
        <v>12000000</v>
      </c>
      <c r="F54" s="79"/>
      <c r="G54" s="67"/>
      <c r="H54" s="67"/>
      <c r="I54" s="67"/>
      <c r="J54" s="77"/>
    </row>
    <row r="55" spans="4:10">
      <c r="D55" s="89"/>
      <c r="E55" s="90"/>
      <c r="F55" s="86"/>
      <c r="G55" s="67"/>
      <c r="H55" s="67"/>
      <c r="I55" s="67"/>
      <c r="J55" s="77"/>
    </row>
    <row r="56" spans="4:10">
      <c r="G56" s="67"/>
      <c r="H56" s="67"/>
      <c r="I56" s="67"/>
    </row>
    <row r="57" spans="4:10" ht="45">
      <c r="D57" s="94" t="s">
        <v>171</v>
      </c>
      <c r="E57" s="95" t="s">
        <v>109</v>
      </c>
      <c r="F57" s="95" t="s">
        <v>110</v>
      </c>
      <c r="G57" s="94" t="s">
        <v>111</v>
      </c>
      <c r="H57" s="94" t="s">
        <v>112</v>
      </c>
      <c r="I57" s="94" t="s">
        <v>113</v>
      </c>
      <c r="J57" s="94" t="s">
        <v>118</v>
      </c>
    </row>
    <row r="58" spans="4:10">
      <c r="D58" s="98" t="s">
        <v>117</v>
      </c>
      <c r="E58" s="99">
        <v>7</v>
      </c>
      <c r="F58" s="99">
        <f>+E58*12</f>
        <v>84</v>
      </c>
      <c r="G58" s="100">
        <f>+E54</f>
        <v>12000000</v>
      </c>
      <c r="H58" s="100">
        <v>12</v>
      </c>
      <c r="I58" s="101">
        <f>+G58/F58*H58</f>
        <v>1714285.7142857146</v>
      </c>
      <c r="J58" s="101">
        <f>+G58-I58</f>
        <v>10285714.285714285</v>
      </c>
    </row>
    <row r="60" spans="4:10">
      <c r="D60" s="324" t="s">
        <v>380</v>
      </c>
      <c r="E60" s="324"/>
      <c r="F60" s="76"/>
      <c r="G60" s="67"/>
      <c r="H60" s="67"/>
      <c r="I60" s="67"/>
    </row>
    <row r="61" spans="4:10">
      <c r="D61" s="78" t="s">
        <v>116</v>
      </c>
      <c r="E61" s="79">
        <v>12000000</v>
      </c>
      <c r="F61" s="79"/>
      <c r="G61" s="67"/>
      <c r="H61" s="67"/>
      <c r="I61" s="67"/>
      <c r="J61" s="77"/>
    </row>
    <row r="62" spans="4:10">
      <c r="D62" s="78" t="s">
        <v>106</v>
      </c>
      <c r="E62" s="79"/>
      <c r="F62" s="79"/>
      <c r="G62" s="67"/>
      <c r="H62" s="67"/>
      <c r="I62" s="67"/>
      <c r="J62" s="77"/>
    </row>
    <row r="63" spans="4:10">
      <c r="D63" s="82" t="s">
        <v>107</v>
      </c>
      <c r="E63" s="79">
        <v>0</v>
      </c>
      <c r="F63" s="79"/>
      <c r="G63" s="67"/>
      <c r="H63" s="67"/>
      <c r="I63" s="67"/>
      <c r="J63" s="77"/>
    </row>
    <row r="64" spans="4:10">
      <c r="D64" s="83"/>
      <c r="E64" s="79"/>
      <c r="F64" s="79"/>
      <c r="G64" s="67"/>
      <c r="H64" s="67"/>
      <c r="I64" s="67"/>
      <c r="J64" s="77"/>
    </row>
    <row r="65" spans="4:10">
      <c r="D65" s="84" t="s">
        <v>108</v>
      </c>
      <c r="E65" s="85">
        <f>SUM(E61:E64)</f>
        <v>12000000</v>
      </c>
      <c r="F65" s="86"/>
      <c r="G65" s="67"/>
      <c r="H65" s="67"/>
      <c r="I65" s="67"/>
      <c r="J65" s="77"/>
    </row>
    <row r="66" spans="4:10" ht="15.75" thickBot="1">
      <c r="D66" s="78" t="s">
        <v>378</v>
      </c>
      <c r="E66" s="87">
        <f>+E65*12.5%</f>
        <v>1500000</v>
      </c>
      <c r="F66" s="79"/>
      <c r="G66" s="67"/>
      <c r="H66" s="67"/>
      <c r="I66" s="67"/>
      <c r="J66" s="77"/>
    </row>
    <row r="67" spans="4:10" ht="15.75" thickTop="1">
      <c r="D67" s="78"/>
      <c r="E67" s="79">
        <f>SUM(E65:E66)</f>
        <v>13500000</v>
      </c>
      <c r="F67" s="79"/>
      <c r="G67" s="67"/>
      <c r="H67" s="67"/>
      <c r="I67" s="67"/>
      <c r="J67" s="77"/>
    </row>
    <row r="68" spans="4:10">
      <c r="D68" s="89"/>
      <c r="E68" s="90"/>
      <c r="F68" s="86"/>
      <c r="G68" s="67"/>
      <c r="H68" s="67"/>
      <c r="I68" s="67"/>
      <c r="J68" s="77"/>
    </row>
    <row r="69" spans="4:10">
      <c r="G69" s="67"/>
      <c r="H69" s="67"/>
      <c r="I69" s="67"/>
    </row>
    <row r="70" spans="4:10" ht="45">
      <c r="D70" s="94" t="s">
        <v>171</v>
      </c>
      <c r="E70" s="95" t="s">
        <v>109</v>
      </c>
      <c r="F70" s="95" t="s">
        <v>110</v>
      </c>
      <c r="G70" s="94" t="s">
        <v>111</v>
      </c>
      <c r="H70" s="94" t="s">
        <v>112</v>
      </c>
      <c r="I70" s="94" t="s">
        <v>113</v>
      </c>
      <c r="J70" s="94" t="s">
        <v>118</v>
      </c>
    </row>
    <row r="71" spans="4:10">
      <c r="D71" s="98" t="s">
        <v>117</v>
      </c>
      <c r="E71" s="99">
        <v>7</v>
      </c>
      <c r="F71" s="99">
        <f>12*E71</f>
        <v>84</v>
      </c>
      <c r="G71" s="100">
        <f>+E67</f>
        <v>13500000</v>
      </c>
      <c r="H71" s="100">
        <v>12</v>
      </c>
      <c r="I71" s="101">
        <f>+G71/F71*H71</f>
        <v>1928571.4285714286</v>
      </c>
      <c r="J71" s="101">
        <f>+G71-I71</f>
        <v>11571428.571428571</v>
      </c>
    </row>
    <row r="73" spans="4:10">
      <c r="D73" s="324" t="s">
        <v>385</v>
      </c>
      <c r="E73" s="324"/>
      <c r="F73" s="76"/>
      <c r="G73" s="67"/>
      <c r="H73" s="67"/>
      <c r="I73" s="67"/>
    </row>
    <row r="74" spans="4:10">
      <c r="D74" s="78"/>
      <c r="E74" s="79">
        <v>12000000</v>
      </c>
      <c r="F74" s="79"/>
      <c r="G74" s="67"/>
      <c r="H74" s="67"/>
      <c r="I74" s="67"/>
      <c r="J74" s="77"/>
    </row>
    <row r="75" spans="4:10">
      <c r="D75" s="78" t="s">
        <v>106</v>
      </c>
      <c r="E75" s="79"/>
      <c r="F75" s="79"/>
      <c r="G75" s="67"/>
      <c r="H75" s="67"/>
      <c r="I75" s="67"/>
      <c r="J75" s="77"/>
    </row>
    <row r="76" spans="4:10">
      <c r="D76" s="82" t="s">
        <v>107</v>
      </c>
      <c r="E76" s="79">
        <v>0</v>
      </c>
      <c r="F76" s="79"/>
      <c r="G76" s="67"/>
      <c r="H76" s="67"/>
      <c r="I76" s="67"/>
      <c r="J76" s="77"/>
    </row>
    <row r="77" spans="4:10">
      <c r="D77" s="83"/>
      <c r="E77" s="79"/>
      <c r="F77" s="79"/>
      <c r="G77" s="67"/>
      <c r="H77" s="67"/>
      <c r="I77" s="67"/>
      <c r="J77" s="77"/>
    </row>
    <row r="78" spans="4:10">
      <c r="D78" s="84" t="s">
        <v>108</v>
      </c>
      <c r="E78" s="85">
        <f>SUM(E74:E77)</f>
        <v>12000000</v>
      </c>
      <c r="F78" s="86"/>
      <c r="G78" s="67"/>
      <c r="H78" s="67"/>
      <c r="I78" s="67"/>
      <c r="J78" s="77"/>
    </row>
    <row r="79" spans="4:10" ht="15.75" thickBot="1">
      <c r="D79" s="78" t="s">
        <v>378</v>
      </c>
      <c r="E79" s="87">
        <f>+E78*12.5%</f>
        <v>1500000</v>
      </c>
      <c r="F79" s="79"/>
      <c r="G79" s="67"/>
      <c r="H79" s="67"/>
      <c r="I79" s="67"/>
      <c r="J79" s="77"/>
    </row>
    <row r="80" spans="4:10" ht="15.75" thickTop="1">
      <c r="D80" s="78"/>
      <c r="E80" s="79">
        <f>SUM(E78:E79)</f>
        <v>13500000</v>
      </c>
      <c r="F80" s="79"/>
      <c r="G80" s="67"/>
      <c r="H80" s="67"/>
      <c r="I80" s="67"/>
      <c r="J80" s="77"/>
    </row>
    <row r="81" spans="4:10">
      <c r="D81" s="89"/>
      <c r="E81" s="90"/>
      <c r="F81" s="86"/>
      <c r="G81" s="67"/>
      <c r="H81" s="67"/>
      <c r="I81" s="67"/>
      <c r="J81" s="77"/>
    </row>
    <row r="82" spans="4:10">
      <c r="G82" s="67"/>
      <c r="H82" s="67"/>
      <c r="I82" s="67"/>
    </row>
    <row r="83" spans="4:10" ht="45">
      <c r="D83" s="94" t="s">
        <v>171</v>
      </c>
      <c r="E83" s="95" t="s">
        <v>109</v>
      </c>
      <c r="F83" s="95" t="s">
        <v>110</v>
      </c>
      <c r="G83" s="94" t="s">
        <v>111</v>
      </c>
      <c r="H83" s="94" t="s">
        <v>112</v>
      </c>
      <c r="I83" s="94" t="s">
        <v>113</v>
      </c>
      <c r="J83" s="94" t="s">
        <v>118</v>
      </c>
    </row>
    <row r="84" spans="4:10">
      <c r="D84" s="98" t="s">
        <v>117</v>
      </c>
      <c r="E84" s="99">
        <v>2</v>
      </c>
      <c r="F84" s="99">
        <f>12*E84</f>
        <v>24</v>
      </c>
      <c r="G84" s="100">
        <f>+E80</f>
        <v>13500000</v>
      </c>
      <c r="H84" s="100">
        <v>12</v>
      </c>
      <c r="I84" s="101">
        <f>+G84/F84*H84</f>
        <v>6750000</v>
      </c>
      <c r="J84" s="101">
        <f>+G84-I84</f>
        <v>6750000</v>
      </c>
    </row>
    <row r="89" spans="4:10">
      <c r="D89" s="324" t="s">
        <v>386</v>
      </c>
      <c r="E89" s="324"/>
      <c r="F89" s="76"/>
      <c r="G89" s="67"/>
      <c r="H89" s="67"/>
      <c r="I89" s="67"/>
    </row>
    <row r="90" spans="4:10">
      <c r="D90" s="78" t="s">
        <v>116</v>
      </c>
      <c r="E90" s="79">
        <v>120000000</v>
      </c>
      <c r="F90" s="79"/>
      <c r="G90" s="67"/>
      <c r="H90" s="67"/>
      <c r="I90" s="67"/>
      <c r="J90" s="77"/>
    </row>
    <row r="91" spans="4:10">
      <c r="D91" s="78" t="s">
        <v>106</v>
      </c>
      <c r="E91" s="79"/>
      <c r="F91" s="79"/>
      <c r="G91" s="67"/>
      <c r="H91" s="67"/>
      <c r="I91" s="67"/>
      <c r="J91" s="77"/>
    </row>
    <row r="92" spans="4:10">
      <c r="D92" s="82" t="s">
        <v>107</v>
      </c>
      <c r="E92" s="79">
        <v>0</v>
      </c>
      <c r="F92" s="79"/>
      <c r="G92" s="67"/>
      <c r="H92" s="67"/>
      <c r="I92" s="67"/>
      <c r="J92" s="77"/>
    </row>
    <row r="93" spans="4:10">
      <c r="D93" s="83"/>
      <c r="E93" s="79"/>
      <c r="F93" s="79"/>
      <c r="G93" s="67"/>
      <c r="H93" s="67"/>
      <c r="I93" s="67"/>
      <c r="J93" s="77"/>
    </row>
    <row r="94" spans="4:10">
      <c r="D94" s="84" t="s">
        <v>108</v>
      </c>
      <c r="E94" s="85">
        <f>SUM(E90:E93)</f>
        <v>120000000</v>
      </c>
      <c r="F94" s="86"/>
      <c r="G94" s="67"/>
      <c r="H94" s="67"/>
      <c r="I94" s="67"/>
      <c r="J94" s="77"/>
    </row>
    <row r="95" spans="4:10" ht="15.75" thickBot="1">
      <c r="D95" s="78" t="s">
        <v>119</v>
      </c>
      <c r="E95" s="87"/>
      <c r="F95" s="79"/>
      <c r="G95" s="67"/>
      <c r="H95" s="67"/>
      <c r="I95" s="67"/>
      <c r="J95" s="77"/>
    </row>
    <row r="96" spans="4:10" ht="15.75" thickTop="1">
      <c r="D96" s="78"/>
      <c r="E96" s="79">
        <f>SUM(E94:E95)</f>
        <v>120000000</v>
      </c>
      <c r="F96" s="79"/>
      <c r="G96" s="67"/>
      <c r="H96" s="67"/>
      <c r="I96" s="67"/>
      <c r="J96" s="77"/>
    </row>
    <row r="97" spans="4:10">
      <c r="D97" s="89"/>
      <c r="E97" s="90"/>
      <c r="F97" s="86"/>
      <c r="G97" s="67"/>
      <c r="H97" s="67"/>
      <c r="I97" s="67"/>
      <c r="J97" s="77"/>
    </row>
    <row r="98" spans="4:10">
      <c r="G98" s="67"/>
      <c r="H98" s="67"/>
      <c r="I98" s="67"/>
    </row>
    <row r="99" spans="4:10" ht="45">
      <c r="D99" s="94" t="s">
        <v>171</v>
      </c>
      <c r="E99" s="95" t="s">
        <v>109</v>
      </c>
      <c r="F99" s="95" t="s">
        <v>110</v>
      </c>
      <c r="G99" s="94" t="s">
        <v>111</v>
      </c>
      <c r="H99" s="94" t="s">
        <v>112</v>
      </c>
      <c r="I99" s="94" t="s">
        <v>113</v>
      </c>
      <c r="J99" s="94" t="s">
        <v>118</v>
      </c>
    </row>
    <row r="100" spans="4:10">
      <c r="D100" s="98" t="s">
        <v>117</v>
      </c>
      <c r="E100" s="99"/>
      <c r="F100" s="99">
        <f>+E100*12</f>
        <v>0</v>
      </c>
      <c r="G100" s="100">
        <f>+E96</f>
        <v>120000000</v>
      </c>
      <c r="H100" s="100"/>
      <c r="I100" s="101"/>
      <c r="J100" s="101">
        <f>+G100-I100</f>
        <v>120000000</v>
      </c>
    </row>
    <row r="102" spans="4:10">
      <c r="D102" s="324" t="s">
        <v>545</v>
      </c>
      <c r="E102" s="324"/>
      <c r="F102" s="76"/>
      <c r="G102" s="67"/>
      <c r="H102" s="67"/>
      <c r="I102" s="67"/>
    </row>
    <row r="103" spans="4:10">
      <c r="D103" s="78" t="s">
        <v>116</v>
      </c>
      <c r="E103" s="79">
        <f>+E90</f>
        <v>120000000</v>
      </c>
      <c r="F103" s="79"/>
      <c r="G103" s="67"/>
      <c r="H103" s="67"/>
      <c r="I103" s="67"/>
      <c r="J103" s="77"/>
    </row>
    <row r="104" spans="4:10">
      <c r="D104" s="78" t="s">
        <v>106</v>
      </c>
      <c r="E104" s="79"/>
      <c r="F104" s="79"/>
      <c r="G104" s="67"/>
      <c r="H104" s="67"/>
      <c r="I104" s="67"/>
      <c r="J104" s="77"/>
    </row>
    <row r="105" spans="4:10">
      <c r="D105" s="82" t="s">
        <v>107</v>
      </c>
      <c r="E105" s="79">
        <v>0</v>
      </c>
      <c r="F105" s="79"/>
      <c r="G105" s="67"/>
      <c r="H105" s="67"/>
      <c r="I105" s="67"/>
      <c r="J105" s="77"/>
    </row>
    <row r="106" spans="4:10">
      <c r="D106" s="83"/>
      <c r="E106" s="79"/>
      <c r="F106" s="79"/>
      <c r="G106" s="67"/>
      <c r="H106" s="67"/>
      <c r="I106" s="67"/>
      <c r="J106" s="77"/>
    </row>
    <row r="107" spans="4:10">
      <c r="D107" s="84" t="s">
        <v>108</v>
      </c>
      <c r="E107" s="85">
        <f>SUM(E103:E106)</f>
        <v>120000000</v>
      </c>
      <c r="F107" s="86"/>
      <c r="G107" s="67"/>
      <c r="H107" s="67"/>
      <c r="I107" s="67"/>
      <c r="J107" s="77"/>
    </row>
    <row r="108" spans="4:10" ht="15.75" thickBot="1">
      <c r="D108" s="78" t="s">
        <v>378</v>
      </c>
      <c r="E108" s="87">
        <f>+E107*12.5%</f>
        <v>15000000</v>
      </c>
      <c r="F108" s="79"/>
      <c r="G108" s="67"/>
      <c r="H108" s="67"/>
      <c r="I108" s="67"/>
      <c r="J108" s="77"/>
    </row>
    <row r="109" spans="4:10" ht="15.75" thickTop="1">
      <c r="D109" s="78"/>
      <c r="E109" s="79">
        <f>SUM(E107:E108)</f>
        <v>135000000</v>
      </c>
      <c r="F109" s="79"/>
      <c r="G109" s="67"/>
      <c r="H109" s="67"/>
      <c r="I109" s="67"/>
      <c r="J109" s="77"/>
    </row>
    <row r="110" spans="4:10">
      <c r="D110" s="89"/>
      <c r="E110" s="90"/>
      <c r="F110" s="86"/>
      <c r="G110" s="67"/>
      <c r="H110" s="67"/>
      <c r="I110" s="67"/>
      <c r="J110" s="77"/>
    </row>
    <row r="111" spans="4:10">
      <c r="G111" s="67"/>
      <c r="H111" s="67"/>
      <c r="I111" s="67"/>
    </row>
    <row r="112" spans="4:10" ht="45">
      <c r="D112" s="94" t="s">
        <v>171</v>
      </c>
      <c r="E112" s="95" t="s">
        <v>109</v>
      </c>
      <c r="F112" s="95" t="s">
        <v>110</v>
      </c>
      <c r="G112" s="94" t="s">
        <v>111</v>
      </c>
      <c r="H112" s="94" t="s">
        <v>112</v>
      </c>
      <c r="I112" s="94" t="s">
        <v>113</v>
      </c>
      <c r="J112" s="94" t="s">
        <v>118</v>
      </c>
    </row>
    <row r="113" spans="4:10">
      <c r="D113" s="98" t="s">
        <v>117</v>
      </c>
      <c r="E113" s="99"/>
      <c r="F113" s="99">
        <f>12*E113</f>
        <v>0</v>
      </c>
      <c r="G113" s="100">
        <f>+E109</f>
        <v>135000000</v>
      </c>
      <c r="H113" s="100"/>
      <c r="I113" s="101"/>
      <c r="J113" s="101">
        <f>+G113-I113</f>
        <v>135000000</v>
      </c>
    </row>
    <row r="116" spans="4:10">
      <c r="D116" s="324" t="s">
        <v>387</v>
      </c>
      <c r="E116" s="324"/>
      <c r="F116" s="76"/>
      <c r="G116" s="67"/>
      <c r="H116" s="67"/>
      <c r="I116" s="67"/>
    </row>
    <row r="117" spans="4:10">
      <c r="D117" s="78" t="s">
        <v>116</v>
      </c>
      <c r="E117" s="79">
        <v>280000000</v>
      </c>
      <c r="F117" s="79"/>
      <c r="G117" s="67"/>
      <c r="H117" s="67"/>
      <c r="I117" s="67"/>
      <c r="J117" s="77"/>
    </row>
    <row r="118" spans="4:10">
      <c r="D118" s="78" t="s">
        <v>106</v>
      </c>
      <c r="E118" s="79"/>
      <c r="F118" s="79"/>
      <c r="G118" s="67"/>
      <c r="H118" s="67"/>
      <c r="I118" s="67"/>
      <c r="J118" s="77"/>
    </row>
    <row r="119" spans="4:10">
      <c r="D119" s="82" t="s">
        <v>107</v>
      </c>
      <c r="E119" s="79">
        <v>0</v>
      </c>
      <c r="F119" s="79"/>
      <c r="G119" s="67"/>
      <c r="H119" s="67"/>
      <c r="I119" s="67"/>
      <c r="J119" s="77"/>
    </row>
    <row r="120" spans="4:10">
      <c r="D120" s="83"/>
      <c r="E120" s="79"/>
      <c r="F120" s="79"/>
      <c r="G120" s="67"/>
      <c r="H120" s="67"/>
      <c r="I120" s="67"/>
      <c r="J120" s="77"/>
    </row>
    <row r="121" spans="4:10">
      <c r="D121" s="84" t="s">
        <v>108</v>
      </c>
      <c r="E121" s="85">
        <f>SUM(E117:E120)</f>
        <v>280000000</v>
      </c>
      <c r="F121" s="86"/>
      <c r="G121" s="67"/>
      <c r="H121" s="67"/>
      <c r="I121" s="67"/>
      <c r="J121" s="77"/>
    </row>
    <row r="122" spans="4:10" ht="15.75" thickBot="1">
      <c r="D122" s="78" t="s">
        <v>119</v>
      </c>
      <c r="E122" s="87"/>
      <c r="F122" s="79"/>
      <c r="G122" s="67"/>
      <c r="H122" s="67"/>
      <c r="I122" s="67"/>
      <c r="J122" s="77"/>
    </row>
    <row r="123" spans="4:10" ht="15.75" thickTop="1">
      <c r="D123" s="78"/>
      <c r="E123" s="79">
        <f>SUM(E121:E122)</f>
        <v>280000000</v>
      </c>
      <c r="F123" s="79"/>
      <c r="G123" s="67"/>
      <c r="H123" s="67"/>
      <c r="I123" s="67"/>
      <c r="J123" s="77"/>
    </row>
    <row r="124" spans="4:10">
      <c r="D124" s="89"/>
      <c r="E124" s="90"/>
      <c r="F124" s="86"/>
      <c r="G124" s="67"/>
      <c r="H124" s="67"/>
      <c r="I124" s="67"/>
      <c r="J124" s="77"/>
    </row>
    <row r="125" spans="4:10">
      <c r="G125" s="67"/>
      <c r="H125" s="67"/>
      <c r="I125" s="67"/>
    </row>
    <row r="126" spans="4:10" ht="45">
      <c r="D126" s="94" t="s">
        <v>171</v>
      </c>
      <c r="E126" s="95" t="s">
        <v>109</v>
      </c>
      <c r="F126" s="95" t="s">
        <v>110</v>
      </c>
      <c r="G126" s="94" t="s">
        <v>111</v>
      </c>
      <c r="H126" s="94" t="s">
        <v>112</v>
      </c>
      <c r="I126" s="94" t="s">
        <v>113</v>
      </c>
      <c r="J126" s="94" t="s">
        <v>118</v>
      </c>
    </row>
    <row r="127" spans="4:10">
      <c r="D127" s="98" t="s">
        <v>117</v>
      </c>
      <c r="E127" s="99">
        <v>60</v>
      </c>
      <c r="F127" s="99">
        <f>+E127*12</f>
        <v>720</v>
      </c>
      <c r="G127" s="100">
        <f>+E123</f>
        <v>280000000</v>
      </c>
      <c r="H127" s="100">
        <v>12</v>
      </c>
      <c r="I127" s="101">
        <f>+G127/F127*H127</f>
        <v>4666666.666666666</v>
      </c>
      <c r="J127" s="101">
        <f>+G127-I127</f>
        <v>275333333.33333331</v>
      </c>
    </row>
    <row r="129" spans="4:10">
      <c r="D129" s="324" t="s">
        <v>388</v>
      </c>
      <c r="E129" s="324"/>
      <c r="F129" s="76"/>
      <c r="G129" s="67"/>
      <c r="H129" s="67"/>
      <c r="I129" s="67"/>
    </row>
    <row r="130" spans="4:10">
      <c r="D130" s="78" t="s">
        <v>116</v>
      </c>
      <c r="E130" s="79">
        <f>+E117</f>
        <v>280000000</v>
      </c>
      <c r="F130" s="79"/>
      <c r="G130" s="67"/>
      <c r="H130" s="67"/>
      <c r="I130" s="67"/>
      <c r="J130" s="77"/>
    </row>
    <row r="131" spans="4:10">
      <c r="D131" s="78" t="s">
        <v>106</v>
      </c>
      <c r="E131" s="79"/>
      <c r="F131" s="79"/>
      <c r="G131" s="67"/>
      <c r="H131" s="67"/>
      <c r="I131" s="67"/>
      <c r="J131" s="77"/>
    </row>
    <row r="132" spans="4:10">
      <c r="D132" s="82" t="s">
        <v>107</v>
      </c>
      <c r="E132" s="79">
        <v>0</v>
      </c>
      <c r="F132" s="79"/>
      <c r="G132" s="67"/>
      <c r="H132" s="67"/>
      <c r="I132" s="67"/>
      <c r="J132" s="77"/>
    </row>
    <row r="133" spans="4:10">
      <c r="D133" s="83"/>
      <c r="E133" s="79"/>
      <c r="F133" s="79"/>
      <c r="G133" s="67"/>
      <c r="H133" s="67"/>
      <c r="I133" s="67"/>
      <c r="J133" s="77"/>
    </row>
    <row r="134" spans="4:10">
      <c r="D134" s="84" t="s">
        <v>108</v>
      </c>
      <c r="E134" s="85">
        <f>SUM(E130:E133)</f>
        <v>280000000</v>
      </c>
      <c r="F134" s="86"/>
      <c r="G134" s="67"/>
      <c r="H134" s="67"/>
      <c r="I134" s="67"/>
      <c r="J134" s="77"/>
    </row>
    <row r="135" spans="4:10" ht="15.75" thickBot="1">
      <c r="D135" s="78" t="s">
        <v>378</v>
      </c>
      <c r="E135" s="87">
        <f>+E134*12.5%</f>
        <v>35000000</v>
      </c>
      <c r="F135" s="79"/>
      <c r="G135" s="67"/>
      <c r="H135" s="67"/>
      <c r="I135" s="67"/>
      <c r="J135" s="77"/>
    </row>
    <row r="136" spans="4:10" ht="15.75" thickTop="1">
      <c r="D136" s="78"/>
      <c r="E136" s="79">
        <f>SUM(E134:E135)</f>
        <v>315000000</v>
      </c>
      <c r="F136" s="79"/>
      <c r="G136" s="67"/>
      <c r="H136" s="67"/>
      <c r="I136" s="67"/>
      <c r="J136" s="77"/>
    </row>
    <row r="137" spans="4:10">
      <c r="D137" s="89"/>
      <c r="E137" s="90"/>
      <c r="F137" s="86"/>
      <c r="G137" s="67"/>
      <c r="H137" s="67"/>
      <c r="I137" s="67"/>
      <c r="J137" s="77"/>
    </row>
    <row r="138" spans="4:10">
      <c r="G138" s="67"/>
      <c r="H138" s="67"/>
      <c r="I138" s="67"/>
    </row>
    <row r="139" spans="4:10" ht="45">
      <c r="D139" s="94" t="s">
        <v>171</v>
      </c>
      <c r="E139" s="95" t="s">
        <v>109</v>
      </c>
      <c r="F139" s="95" t="s">
        <v>110</v>
      </c>
      <c r="G139" s="94" t="s">
        <v>111</v>
      </c>
      <c r="H139" s="94" t="s">
        <v>112</v>
      </c>
      <c r="I139" s="94" t="s">
        <v>113</v>
      </c>
      <c r="J139" s="94" t="s">
        <v>118</v>
      </c>
    </row>
    <row r="140" spans="4:10">
      <c r="D140" s="98" t="s">
        <v>117</v>
      </c>
      <c r="E140" s="99">
        <v>40</v>
      </c>
      <c r="F140" s="99">
        <f>12*E140</f>
        <v>480</v>
      </c>
      <c r="G140" s="100">
        <f>+E136</f>
        <v>315000000</v>
      </c>
      <c r="H140" s="100">
        <v>12</v>
      </c>
      <c r="I140" s="101">
        <f>+G140/F140*H140</f>
        <v>7875000</v>
      </c>
      <c r="J140" s="101">
        <f>+G140-I140</f>
        <v>307125000</v>
      </c>
    </row>
    <row r="142" spans="4:10">
      <c r="D142" s="324" t="s">
        <v>546</v>
      </c>
      <c r="E142" s="324"/>
      <c r="F142" s="76"/>
      <c r="G142" s="67"/>
      <c r="H142" s="67"/>
      <c r="I142" s="67"/>
    </row>
    <row r="143" spans="4:10">
      <c r="D143" s="78"/>
      <c r="E143" s="79">
        <f>+E130</f>
        <v>280000000</v>
      </c>
      <c r="F143" s="79"/>
      <c r="G143" s="67"/>
      <c r="H143" s="67"/>
      <c r="I143" s="67"/>
      <c r="J143" s="77"/>
    </row>
    <row r="144" spans="4:10">
      <c r="D144" s="78" t="s">
        <v>106</v>
      </c>
      <c r="E144" s="79"/>
      <c r="F144" s="79"/>
      <c r="G144" s="67"/>
      <c r="H144" s="67"/>
      <c r="I144" s="67"/>
      <c r="J144" s="77"/>
    </row>
    <row r="145" spans="4:10">
      <c r="D145" s="82" t="s">
        <v>107</v>
      </c>
      <c r="E145" s="79">
        <v>0</v>
      </c>
      <c r="F145" s="79"/>
      <c r="G145" s="67"/>
      <c r="H145" s="67"/>
      <c r="I145" s="67"/>
      <c r="J145" s="77"/>
    </row>
    <row r="146" spans="4:10">
      <c r="D146" s="83"/>
      <c r="E146" s="79"/>
      <c r="F146" s="79"/>
      <c r="G146" s="67"/>
      <c r="H146" s="67"/>
      <c r="I146" s="67"/>
      <c r="J146" s="77"/>
    </row>
    <row r="147" spans="4:10">
      <c r="D147" s="84" t="s">
        <v>108</v>
      </c>
      <c r="E147" s="85">
        <f>SUM(E143:E146)</f>
        <v>280000000</v>
      </c>
      <c r="F147" s="86"/>
      <c r="G147" s="67"/>
      <c r="H147" s="67"/>
      <c r="I147" s="67"/>
      <c r="J147" s="77"/>
    </row>
    <row r="148" spans="4:10" ht="15.75" thickBot="1">
      <c r="D148" s="78" t="s">
        <v>378</v>
      </c>
      <c r="E148" s="87">
        <f>+E147*12.5%</f>
        <v>35000000</v>
      </c>
      <c r="F148" s="79"/>
      <c r="G148" s="67"/>
      <c r="H148" s="67"/>
      <c r="I148" s="67"/>
      <c r="J148" s="77"/>
    </row>
    <row r="149" spans="4:10" ht="15.75" thickTop="1">
      <c r="D149" s="78"/>
      <c r="E149" s="79">
        <f>SUM(E147:E148)</f>
        <v>315000000</v>
      </c>
      <c r="F149" s="79"/>
      <c r="G149" s="67"/>
      <c r="H149" s="67"/>
      <c r="I149" s="67"/>
      <c r="J149" s="77"/>
    </row>
    <row r="150" spans="4:10">
      <c r="D150" s="89"/>
      <c r="E150" s="90"/>
      <c r="F150" s="86"/>
      <c r="G150" s="67"/>
      <c r="H150" s="67"/>
      <c r="I150" s="67"/>
      <c r="J150" s="77"/>
    </row>
    <row r="151" spans="4:10">
      <c r="G151" s="67"/>
      <c r="H151" s="67"/>
      <c r="I151" s="67"/>
    </row>
    <row r="152" spans="4:10" ht="45">
      <c r="D152" s="94" t="s">
        <v>171</v>
      </c>
      <c r="E152" s="95" t="s">
        <v>109</v>
      </c>
      <c r="F152" s="95" t="s">
        <v>110</v>
      </c>
      <c r="G152" s="94" t="s">
        <v>111</v>
      </c>
      <c r="H152" s="94" t="s">
        <v>112</v>
      </c>
      <c r="I152" s="94" t="s">
        <v>113</v>
      </c>
      <c r="J152" s="94" t="s">
        <v>118</v>
      </c>
    </row>
    <row r="153" spans="4:10">
      <c r="D153" s="98" t="s">
        <v>117</v>
      </c>
      <c r="E153" s="99">
        <v>13</v>
      </c>
      <c r="F153" s="99">
        <f>12*E153</f>
        <v>156</v>
      </c>
      <c r="G153" s="100">
        <f>+E149</f>
        <v>315000000</v>
      </c>
      <c r="H153" s="100">
        <v>12</v>
      </c>
      <c r="I153" s="101">
        <f>+G153/F153*H153</f>
        <v>24230769.230769232</v>
      </c>
      <c r="J153" s="101">
        <f>+G153-I153</f>
        <v>290769230.76923078</v>
      </c>
    </row>
    <row r="154" spans="4:10">
      <c r="D154" s="70"/>
      <c r="E154" s="71"/>
      <c r="F154" s="72"/>
    </row>
  </sheetData>
  <mergeCells count="11">
    <mergeCell ref="D5:E5"/>
    <mergeCell ref="D18:E18"/>
    <mergeCell ref="D31:E31"/>
    <mergeCell ref="D47:E47"/>
    <mergeCell ref="D60:E60"/>
    <mergeCell ref="D73:E73"/>
    <mergeCell ref="D89:E89"/>
    <mergeCell ref="D102:E102"/>
    <mergeCell ref="D116:E116"/>
    <mergeCell ref="D129:E129"/>
    <mergeCell ref="D142:E142"/>
  </mergeCells>
  <pageMargins left="0.70866141732283472" right="0.70866141732283472" top="0.74803149606299213" bottom="0.74803149606299213" header="0.31496062992125984" footer="0.31496062992125984"/>
  <pageSetup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J12"/>
  <sheetViews>
    <sheetView showGridLines="0" zoomScale="98" zoomScaleNormal="98" workbookViewId="0">
      <selection activeCell="F14" sqref="F14"/>
    </sheetView>
  </sheetViews>
  <sheetFormatPr baseColWidth="10" defaultColWidth="11.42578125" defaultRowHeight="15"/>
  <cols>
    <col min="1" max="1" width="1.28515625" style="69" customWidth="1"/>
    <col min="2" max="2" width="1.7109375" style="69" customWidth="1"/>
    <col min="3" max="3" width="7.5703125" style="91" customWidth="1"/>
    <col min="4" max="4" width="46.42578125" style="92" bestFit="1" customWidth="1"/>
    <col min="5" max="5" width="21.7109375" style="93" customWidth="1"/>
    <col min="6" max="6" width="16.7109375" style="93" customWidth="1"/>
    <col min="7" max="8" width="13.140625" style="102" customWidth="1"/>
    <col min="9" max="9" width="23.28515625" style="103" customWidth="1"/>
    <col min="10" max="10" width="14" style="69" customWidth="1"/>
    <col min="11" max="11" width="12.28515625" style="69" bestFit="1" customWidth="1"/>
    <col min="12" max="251" width="11.42578125" style="69"/>
    <col min="252" max="254" width="11.42578125" style="69" customWidth="1"/>
    <col min="255" max="255" width="0.85546875" style="69" customWidth="1"/>
    <col min="256" max="256" width="47.42578125" style="69" bestFit="1" customWidth="1"/>
    <col min="257" max="259" width="11.42578125" style="69" customWidth="1"/>
    <col min="260" max="260" width="0.85546875" style="69" customWidth="1"/>
    <col min="261" max="261" width="16.7109375" style="69" bestFit="1" customWidth="1"/>
    <col min="262" max="262" width="0.85546875" style="69" customWidth="1"/>
    <col min="263" max="507" width="11.42578125" style="69"/>
    <col min="508" max="510" width="11.42578125" style="69" customWidth="1"/>
    <col min="511" max="511" width="0.85546875" style="69" customWidth="1"/>
    <col min="512" max="512" width="47.42578125" style="69" bestFit="1" customWidth="1"/>
    <col min="513" max="515" width="11.42578125" style="69" customWidth="1"/>
    <col min="516" max="516" width="0.85546875" style="69" customWidth="1"/>
    <col min="517" max="517" width="16.7109375" style="69" bestFit="1" customWidth="1"/>
    <col min="518" max="518" width="0.85546875" style="69" customWidth="1"/>
    <col min="519" max="763" width="11.42578125" style="69"/>
    <col min="764" max="766" width="11.42578125" style="69" customWidth="1"/>
    <col min="767" max="767" width="0.85546875" style="69" customWidth="1"/>
    <col min="768" max="768" width="47.42578125" style="69" bestFit="1" customWidth="1"/>
    <col min="769" max="771" width="11.42578125" style="69" customWidth="1"/>
    <col min="772" max="772" width="0.85546875" style="69" customWidth="1"/>
    <col min="773" max="773" width="16.7109375" style="69" bestFit="1" customWidth="1"/>
    <col min="774" max="774" width="0.85546875" style="69" customWidth="1"/>
    <col min="775" max="1019" width="11.42578125" style="69"/>
    <col min="1020" max="1022" width="11.42578125" style="69" customWidth="1"/>
    <col min="1023" max="1023" width="0.85546875" style="69" customWidth="1"/>
    <col min="1024" max="1024" width="47.42578125" style="69" bestFit="1" customWidth="1"/>
    <col min="1025" max="1027" width="11.42578125" style="69" customWidth="1"/>
    <col min="1028" max="1028" width="0.85546875" style="69" customWidth="1"/>
    <col min="1029" max="1029" width="16.7109375" style="69" bestFit="1" customWidth="1"/>
    <col min="1030" max="1030" width="0.85546875" style="69" customWidth="1"/>
    <col min="1031" max="1275" width="11.42578125" style="69"/>
    <col min="1276" max="1278" width="11.42578125" style="69" customWidth="1"/>
    <col min="1279" max="1279" width="0.85546875" style="69" customWidth="1"/>
    <col min="1280" max="1280" width="47.42578125" style="69" bestFit="1" customWidth="1"/>
    <col min="1281" max="1283" width="11.42578125" style="69" customWidth="1"/>
    <col min="1284" max="1284" width="0.85546875" style="69" customWidth="1"/>
    <col min="1285" max="1285" width="16.7109375" style="69" bestFit="1" customWidth="1"/>
    <col min="1286" max="1286" width="0.85546875" style="69" customWidth="1"/>
    <col min="1287" max="1531" width="11.42578125" style="69"/>
    <col min="1532" max="1534" width="11.42578125" style="69" customWidth="1"/>
    <col min="1535" max="1535" width="0.85546875" style="69" customWidth="1"/>
    <col min="1536" max="1536" width="47.42578125" style="69" bestFit="1" customWidth="1"/>
    <col min="1537" max="1539" width="11.42578125" style="69" customWidth="1"/>
    <col min="1540" max="1540" width="0.85546875" style="69" customWidth="1"/>
    <col min="1541" max="1541" width="16.7109375" style="69" bestFit="1" customWidth="1"/>
    <col min="1542" max="1542" width="0.85546875" style="69" customWidth="1"/>
    <col min="1543" max="1787" width="11.42578125" style="69"/>
    <col min="1788" max="1790" width="11.42578125" style="69" customWidth="1"/>
    <col min="1791" max="1791" width="0.85546875" style="69" customWidth="1"/>
    <col min="1792" max="1792" width="47.42578125" style="69" bestFit="1" customWidth="1"/>
    <col min="1793" max="1795" width="11.42578125" style="69" customWidth="1"/>
    <col min="1796" max="1796" width="0.85546875" style="69" customWidth="1"/>
    <col min="1797" max="1797" width="16.7109375" style="69" bestFit="1" customWidth="1"/>
    <col min="1798" max="1798" width="0.85546875" style="69" customWidth="1"/>
    <col min="1799" max="2043" width="11.42578125" style="69"/>
    <col min="2044" max="2046" width="11.42578125" style="69" customWidth="1"/>
    <col min="2047" max="2047" width="0.85546875" style="69" customWidth="1"/>
    <col min="2048" max="2048" width="47.42578125" style="69" bestFit="1" customWidth="1"/>
    <col min="2049" max="2051" width="11.42578125" style="69" customWidth="1"/>
    <col min="2052" max="2052" width="0.85546875" style="69" customWidth="1"/>
    <col min="2053" max="2053" width="16.7109375" style="69" bestFit="1" customWidth="1"/>
    <col min="2054" max="2054" width="0.85546875" style="69" customWidth="1"/>
    <col min="2055" max="2299" width="11.42578125" style="69"/>
    <col min="2300" max="2302" width="11.42578125" style="69" customWidth="1"/>
    <col min="2303" max="2303" width="0.85546875" style="69" customWidth="1"/>
    <col min="2304" max="2304" width="47.42578125" style="69" bestFit="1" customWidth="1"/>
    <col min="2305" max="2307" width="11.42578125" style="69" customWidth="1"/>
    <col min="2308" max="2308" width="0.85546875" style="69" customWidth="1"/>
    <col min="2309" max="2309" width="16.7109375" style="69" bestFit="1" customWidth="1"/>
    <col min="2310" max="2310" width="0.85546875" style="69" customWidth="1"/>
    <col min="2311" max="2555" width="11.42578125" style="69"/>
    <col min="2556" max="2558" width="11.42578125" style="69" customWidth="1"/>
    <col min="2559" max="2559" width="0.85546875" style="69" customWidth="1"/>
    <col min="2560" max="2560" width="47.42578125" style="69" bestFit="1" customWidth="1"/>
    <col min="2561" max="2563" width="11.42578125" style="69" customWidth="1"/>
    <col min="2564" max="2564" width="0.85546875" style="69" customWidth="1"/>
    <col min="2565" max="2565" width="16.7109375" style="69" bestFit="1" customWidth="1"/>
    <col min="2566" max="2566" width="0.85546875" style="69" customWidth="1"/>
    <col min="2567" max="2811" width="11.42578125" style="69"/>
    <col min="2812" max="2814" width="11.42578125" style="69" customWidth="1"/>
    <col min="2815" max="2815" width="0.85546875" style="69" customWidth="1"/>
    <col min="2816" max="2816" width="47.42578125" style="69" bestFit="1" customWidth="1"/>
    <col min="2817" max="2819" width="11.42578125" style="69" customWidth="1"/>
    <col min="2820" max="2820" width="0.85546875" style="69" customWidth="1"/>
    <col min="2821" max="2821" width="16.7109375" style="69" bestFit="1" customWidth="1"/>
    <col min="2822" max="2822" width="0.85546875" style="69" customWidth="1"/>
    <col min="2823" max="3067" width="11.42578125" style="69"/>
    <col min="3068" max="3070" width="11.42578125" style="69" customWidth="1"/>
    <col min="3071" max="3071" width="0.85546875" style="69" customWidth="1"/>
    <col min="3072" max="3072" width="47.42578125" style="69" bestFit="1" customWidth="1"/>
    <col min="3073" max="3075" width="11.42578125" style="69" customWidth="1"/>
    <col min="3076" max="3076" width="0.85546875" style="69" customWidth="1"/>
    <col min="3077" max="3077" width="16.7109375" style="69" bestFit="1" customWidth="1"/>
    <col min="3078" max="3078" width="0.85546875" style="69" customWidth="1"/>
    <col min="3079" max="3323" width="11.42578125" style="69"/>
    <col min="3324" max="3326" width="11.42578125" style="69" customWidth="1"/>
    <col min="3327" max="3327" width="0.85546875" style="69" customWidth="1"/>
    <col min="3328" max="3328" width="47.42578125" style="69" bestFit="1" customWidth="1"/>
    <col min="3329" max="3331" width="11.42578125" style="69" customWidth="1"/>
    <col min="3332" max="3332" width="0.85546875" style="69" customWidth="1"/>
    <col min="3333" max="3333" width="16.7109375" style="69" bestFit="1" customWidth="1"/>
    <col min="3334" max="3334" width="0.85546875" style="69" customWidth="1"/>
    <col min="3335" max="3579" width="11.42578125" style="69"/>
    <col min="3580" max="3582" width="11.42578125" style="69" customWidth="1"/>
    <col min="3583" max="3583" width="0.85546875" style="69" customWidth="1"/>
    <col min="3584" max="3584" width="47.42578125" style="69" bestFit="1" customWidth="1"/>
    <col min="3585" max="3587" width="11.42578125" style="69" customWidth="1"/>
    <col min="3588" max="3588" width="0.85546875" style="69" customWidth="1"/>
    <col min="3589" max="3589" width="16.7109375" style="69" bestFit="1" customWidth="1"/>
    <col min="3590" max="3590" width="0.85546875" style="69" customWidth="1"/>
    <col min="3591" max="3835" width="11.42578125" style="69"/>
    <col min="3836" max="3838" width="11.42578125" style="69" customWidth="1"/>
    <col min="3839" max="3839" width="0.85546875" style="69" customWidth="1"/>
    <col min="3840" max="3840" width="47.42578125" style="69" bestFit="1" customWidth="1"/>
    <col min="3841" max="3843" width="11.42578125" style="69" customWidth="1"/>
    <col min="3844" max="3844" width="0.85546875" style="69" customWidth="1"/>
    <col min="3845" max="3845" width="16.7109375" style="69" bestFit="1" customWidth="1"/>
    <col min="3846" max="3846" width="0.85546875" style="69" customWidth="1"/>
    <col min="3847" max="4091" width="11.42578125" style="69"/>
    <col min="4092" max="4094" width="11.42578125" style="69" customWidth="1"/>
    <col min="4095" max="4095" width="0.85546875" style="69" customWidth="1"/>
    <col min="4096" max="4096" width="47.42578125" style="69" bestFit="1" customWidth="1"/>
    <col min="4097" max="4099" width="11.42578125" style="69" customWidth="1"/>
    <col min="4100" max="4100" width="0.85546875" style="69" customWidth="1"/>
    <col min="4101" max="4101" width="16.7109375" style="69" bestFit="1" customWidth="1"/>
    <col min="4102" max="4102" width="0.85546875" style="69" customWidth="1"/>
    <col min="4103" max="4347" width="11.42578125" style="69"/>
    <col min="4348" max="4350" width="11.42578125" style="69" customWidth="1"/>
    <col min="4351" max="4351" width="0.85546875" style="69" customWidth="1"/>
    <col min="4352" max="4352" width="47.42578125" style="69" bestFit="1" customWidth="1"/>
    <col min="4353" max="4355" width="11.42578125" style="69" customWidth="1"/>
    <col min="4356" max="4356" width="0.85546875" style="69" customWidth="1"/>
    <col min="4357" max="4357" width="16.7109375" style="69" bestFit="1" customWidth="1"/>
    <col min="4358" max="4358" width="0.85546875" style="69" customWidth="1"/>
    <col min="4359" max="4603" width="11.42578125" style="69"/>
    <col min="4604" max="4606" width="11.42578125" style="69" customWidth="1"/>
    <col min="4607" max="4607" width="0.85546875" style="69" customWidth="1"/>
    <col min="4608" max="4608" width="47.42578125" style="69" bestFit="1" customWidth="1"/>
    <col min="4609" max="4611" width="11.42578125" style="69" customWidth="1"/>
    <col min="4612" max="4612" width="0.85546875" style="69" customWidth="1"/>
    <col min="4613" max="4613" width="16.7109375" style="69" bestFit="1" customWidth="1"/>
    <col min="4614" max="4614" width="0.85546875" style="69" customWidth="1"/>
    <col min="4615" max="4859" width="11.42578125" style="69"/>
    <col min="4860" max="4862" width="11.42578125" style="69" customWidth="1"/>
    <col min="4863" max="4863" width="0.85546875" style="69" customWidth="1"/>
    <col min="4864" max="4864" width="47.42578125" style="69" bestFit="1" customWidth="1"/>
    <col min="4865" max="4867" width="11.42578125" style="69" customWidth="1"/>
    <col min="4868" max="4868" width="0.85546875" style="69" customWidth="1"/>
    <col min="4869" max="4869" width="16.7109375" style="69" bestFit="1" customWidth="1"/>
    <col min="4870" max="4870" width="0.85546875" style="69" customWidth="1"/>
    <col min="4871" max="5115" width="11.42578125" style="69"/>
    <col min="5116" max="5118" width="11.42578125" style="69" customWidth="1"/>
    <col min="5119" max="5119" width="0.85546875" style="69" customWidth="1"/>
    <col min="5120" max="5120" width="47.42578125" style="69" bestFit="1" customWidth="1"/>
    <col min="5121" max="5123" width="11.42578125" style="69" customWidth="1"/>
    <col min="5124" max="5124" width="0.85546875" style="69" customWidth="1"/>
    <col min="5125" max="5125" width="16.7109375" style="69" bestFit="1" customWidth="1"/>
    <col min="5126" max="5126" width="0.85546875" style="69" customWidth="1"/>
    <col min="5127" max="5371" width="11.42578125" style="69"/>
    <col min="5372" max="5374" width="11.42578125" style="69" customWidth="1"/>
    <col min="5375" max="5375" width="0.85546875" style="69" customWidth="1"/>
    <col min="5376" max="5376" width="47.42578125" style="69" bestFit="1" customWidth="1"/>
    <col min="5377" max="5379" width="11.42578125" style="69" customWidth="1"/>
    <col min="5380" max="5380" width="0.85546875" style="69" customWidth="1"/>
    <col min="5381" max="5381" width="16.7109375" style="69" bestFit="1" customWidth="1"/>
    <col min="5382" max="5382" width="0.85546875" style="69" customWidth="1"/>
    <col min="5383" max="5627" width="11.42578125" style="69"/>
    <col min="5628" max="5630" width="11.42578125" style="69" customWidth="1"/>
    <col min="5631" max="5631" width="0.85546875" style="69" customWidth="1"/>
    <col min="5632" max="5632" width="47.42578125" style="69" bestFit="1" customWidth="1"/>
    <col min="5633" max="5635" width="11.42578125" style="69" customWidth="1"/>
    <col min="5636" max="5636" width="0.85546875" style="69" customWidth="1"/>
    <col min="5637" max="5637" width="16.7109375" style="69" bestFit="1" customWidth="1"/>
    <col min="5638" max="5638" width="0.85546875" style="69" customWidth="1"/>
    <col min="5639" max="5883" width="11.42578125" style="69"/>
    <col min="5884" max="5886" width="11.42578125" style="69" customWidth="1"/>
    <col min="5887" max="5887" width="0.85546875" style="69" customWidth="1"/>
    <col min="5888" max="5888" width="47.42578125" style="69" bestFit="1" customWidth="1"/>
    <col min="5889" max="5891" width="11.42578125" style="69" customWidth="1"/>
    <col min="5892" max="5892" width="0.85546875" style="69" customWidth="1"/>
    <col min="5893" max="5893" width="16.7109375" style="69" bestFit="1" customWidth="1"/>
    <col min="5894" max="5894" width="0.85546875" style="69" customWidth="1"/>
    <col min="5895" max="6139" width="11.42578125" style="69"/>
    <col min="6140" max="6142" width="11.42578125" style="69" customWidth="1"/>
    <col min="6143" max="6143" width="0.85546875" style="69" customWidth="1"/>
    <col min="6144" max="6144" width="47.42578125" style="69" bestFit="1" customWidth="1"/>
    <col min="6145" max="6147" width="11.42578125" style="69" customWidth="1"/>
    <col min="6148" max="6148" width="0.85546875" style="69" customWidth="1"/>
    <col min="6149" max="6149" width="16.7109375" style="69" bestFit="1" customWidth="1"/>
    <col min="6150" max="6150" width="0.85546875" style="69" customWidth="1"/>
    <col min="6151" max="6395" width="11.42578125" style="69"/>
    <col min="6396" max="6398" width="11.42578125" style="69" customWidth="1"/>
    <col min="6399" max="6399" width="0.85546875" style="69" customWidth="1"/>
    <col min="6400" max="6400" width="47.42578125" style="69" bestFit="1" customWidth="1"/>
    <col min="6401" max="6403" width="11.42578125" style="69" customWidth="1"/>
    <col min="6404" max="6404" width="0.85546875" style="69" customWidth="1"/>
    <col min="6405" max="6405" width="16.7109375" style="69" bestFit="1" customWidth="1"/>
    <col min="6406" max="6406" width="0.85546875" style="69" customWidth="1"/>
    <col min="6407" max="6651" width="11.42578125" style="69"/>
    <col min="6652" max="6654" width="11.42578125" style="69" customWidth="1"/>
    <col min="6655" max="6655" width="0.85546875" style="69" customWidth="1"/>
    <col min="6656" max="6656" width="47.42578125" style="69" bestFit="1" customWidth="1"/>
    <col min="6657" max="6659" width="11.42578125" style="69" customWidth="1"/>
    <col min="6660" max="6660" width="0.85546875" style="69" customWidth="1"/>
    <col min="6661" max="6661" width="16.7109375" style="69" bestFit="1" customWidth="1"/>
    <col min="6662" max="6662" width="0.85546875" style="69" customWidth="1"/>
    <col min="6663" max="6907" width="11.42578125" style="69"/>
    <col min="6908" max="6910" width="11.42578125" style="69" customWidth="1"/>
    <col min="6911" max="6911" width="0.85546875" style="69" customWidth="1"/>
    <col min="6912" max="6912" width="47.42578125" style="69" bestFit="1" customWidth="1"/>
    <col min="6913" max="6915" width="11.42578125" style="69" customWidth="1"/>
    <col min="6916" max="6916" width="0.85546875" style="69" customWidth="1"/>
    <col min="6917" max="6917" width="16.7109375" style="69" bestFit="1" customWidth="1"/>
    <col min="6918" max="6918" width="0.85546875" style="69" customWidth="1"/>
    <col min="6919" max="7163" width="11.42578125" style="69"/>
    <col min="7164" max="7166" width="11.42578125" style="69" customWidth="1"/>
    <col min="7167" max="7167" width="0.85546875" style="69" customWidth="1"/>
    <col min="7168" max="7168" width="47.42578125" style="69" bestFit="1" customWidth="1"/>
    <col min="7169" max="7171" width="11.42578125" style="69" customWidth="1"/>
    <col min="7172" max="7172" width="0.85546875" style="69" customWidth="1"/>
    <col min="7173" max="7173" width="16.7109375" style="69" bestFit="1" customWidth="1"/>
    <col min="7174" max="7174" width="0.85546875" style="69" customWidth="1"/>
    <col min="7175" max="7419" width="11.42578125" style="69"/>
    <col min="7420" max="7422" width="11.42578125" style="69" customWidth="1"/>
    <col min="7423" max="7423" width="0.85546875" style="69" customWidth="1"/>
    <col min="7424" max="7424" width="47.42578125" style="69" bestFit="1" customWidth="1"/>
    <col min="7425" max="7427" width="11.42578125" style="69" customWidth="1"/>
    <col min="7428" max="7428" width="0.85546875" style="69" customWidth="1"/>
    <col min="7429" max="7429" width="16.7109375" style="69" bestFit="1" customWidth="1"/>
    <col min="7430" max="7430" width="0.85546875" style="69" customWidth="1"/>
    <col min="7431" max="7675" width="11.42578125" style="69"/>
    <col min="7676" max="7678" width="11.42578125" style="69" customWidth="1"/>
    <col min="7679" max="7679" width="0.85546875" style="69" customWidth="1"/>
    <col min="7680" max="7680" width="47.42578125" style="69" bestFit="1" customWidth="1"/>
    <col min="7681" max="7683" width="11.42578125" style="69" customWidth="1"/>
    <col min="7684" max="7684" width="0.85546875" style="69" customWidth="1"/>
    <col min="7685" max="7685" width="16.7109375" style="69" bestFit="1" customWidth="1"/>
    <col min="7686" max="7686" width="0.85546875" style="69" customWidth="1"/>
    <col min="7687" max="7931" width="11.42578125" style="69"/>
    <col min="7932" max="7934" width="11.42578125" style="69" customWidth="1"/>
    <col min="7935" max="7935" width="0.85546875" style="69" customWidth="1"/>
    <col min="7936" max="7936" width="47.42578125" style="69" bestFit="1" customWidth="1"/>
    <col min="7937" max="7939" width="11.42578125" style="69" customWidth="1"/>
    <col min="7940" max="7940" width="0.85546875" style="69" customWidth="1"/>
    <col min="7941" max="7941" width="16.7109375" style="69" bestFit="1" customWidth="1"/>
    <col min="7942" max="7942" width="0.85546875" style="69" customWidth="1"/>
    <col min="7943" max="8187" width="11.42578125" style="69"/>
    <col min="8188" max="8190" width="11.42578125" style="69" customWidth="1"/>
    <col min="8191" max="8191" width="0.85546875" style="69" customWidth="1"/>
    <col min="8192" max="8192" width="47.42578125" style="69" bestFit="1" customWidth="1"/>
    <col min="8193" max="8195" width="11.42578125" style="69" customWidth="1"/>
    <col min="8196" max="8196" width="0.85546875" style="69" customWidth="1"/>
    <col min="8197" max="8197" width="16.7109375" style="69" bestFit="1" customWidth="1"/>
    <col min="8198" max="8198" width="0.85546875" style="69" customWidth="1"/>
    <col min="8199" max="8443" width="11.42578125" style="69"/>
    <col min="8444" max="8446" width="11.42578125" style="69" customWidth="1"/>
    <col min="8447" max="8447" width="0.85546875" style="69" customWidth="1"/>
    <col min="8448" max="8448" width="47.42578125" style="69" bestFit="1" customWidth="1"/>
    <col min="8449" max="8451" width="11.42578125" style="69" customWidth="1"/>
    <col min="8452" max="8452" width="0.85546875" style="69" customWidth="1"/>
    <col min="8453" max="8453" width="16.7109375" style="69" bestFit="1" customWidth="1"/>
    <col min="8454" max="8454" width="0.85546875" style="69" customWidth="1"/>
    <col min="8455" max="8699" width="11.42578125" style="69"/>
    <col min="8700" max="8702" width="11.42578125" style="69" customWidth="1"/>
    <col min="8703" max="8703" width="0.85546875" style="69" customWidth="1"/>
    <col min="8704" max="8704" width="47.42578125" style="69" bestFit="1" customWidth="1"/>
    <col min="8705" max="8707" width="11.42578125" style="69" customWidth="1"/>
    <col min="8708" max="8708" width="0.85546875" style="69" customWidth="1"/>
    <col min="8709" max="8709" width="16.7109375" style="69" bestFit="1" customWidth="1"/>
    <col min="8710" max="8710" width="0.85546875" style="69" customWidth="1"/>
    <col min="8711" max="8955" width="11.42578125" style="69"/>
    <col min="8956" max="8958" width="11.42578125" style="69" customWidth="1"/>
    <col min="8959" max="8959" width="0.85546875" style="69" customWidth="1"/>
    <col min="8960" max="8960" width="47.42578125" style="69" bestFit="1" customWidth="1"/>
    <col min="8961" max="8963" width="11.42578125" style="69" customWidth="1"/>
    <col min="8964" max="8964" width="0.85546875" style="69" customWidth="1"/>
    <col min="8965" max="8965" width="16.7109375" style="69" bestFit="1" customWidth="1"/>
    <col min="8966" max="8966" width="0.85546875" style="69" customWidth="1"/>
    <col min="8967" max="9211" width="11.42578125" style="69"/>
    <col min="9212" max="9214" width="11.42578125" style="69" customWidth="1"/>
    <col min="9215" max="9215" width="0.85546875" style="69" customWidth="1"/>
    <col min="9216" max="9216" width="47.42578125" style="69" bestFit="1" customWidth="1"/>
    <col min="9217" max="9219" width="11.42578125" style="69" customWidth="1"/>
    <col min="9220" max="9220" width="0.85546875" style="69" customWidth="1"/>
    <col min="9221" max="9221" width="16.7109375" style="69" bestFit="1" customWidth="1"/>
    <col min="9222" max="9222" width="0.85546875" style="69" customWidth="1"/>
    <col min="9223" max="9467" width="11.42578125" style="69"/>
    <col min="9468" max="9470" width="11.42578125" style="69" customWidth="1"/>
    <col min="9471" max="9471" width="0.85546875" style="69" customWidth="1"/>
    <col min="9472" max="9472" width="47.42578125" style="69" bestFit="1" customWidth="1"/>
    <col min="9473" max="9475" width="11.42578125" style="69" customWidth="1"/>
    <col min="9476" max="9476" width="0.85546875" style="69" customWidth="1"/>
    <col min="9477" max="9477" width="16.7109375" style="69" bestFit="1" customWidth="1"/>
    <col min="9478" max="9478" width="0.85546875" style="69" customWidth="1"/>
    <col min="9479" max="9723" width="11.42578125" style="69"/>
    <col min="9724" max="9726" width="11.42578125" style="69" customWidth="1"/>
    <col min="9727" max="9727" width="0.85546875" style="69" customWidth="1"/>
    <col min="9728" max="9728" width="47.42578125" style="69" bestFit="1" customWidth="1"/>
    <col min="9729" max="9731" width="11.42578125" style="69" customWidth="1"/>
    <col min="9732" max="9732" width="0.85546875" style="69" customWidth="1"/>
    <col min="9733" max="9733" width="16.7109375" style="69" bestFit="1" customWidth="1"/>
    <col min="9734" max="9734" width="0.85546875" style="69" customWidth="1"/>
    <col min="9735" max="9979" width="11.42578125" style="69"/>
    <col min="9980" max="9982" width="11.42578125" style="69" customWidth="1"/>
    <col min="9983" max="9983" width="0.85546875" style="69" customWidth="1"/>
    <col min="9984" max="9984" width="47.42578125" style="69" bestFit="1" customWidth="1"/>
    <col min="9985" max="9987" width="11.42578125" style="69" customWidth="1"/>
    <col min="9988" max="9988" width="0.85546875" style="69" customWidth="1"/>
    <col min="9989" max="9989" width="16.7109375" style="69" bestFit="1" customWidth="1"/>
    <col min="9990" max="9990" width="0.85546875" style="69" customWidth="1"/>
    <col min="9991" max="10235" width="11.42578125" style="69"/>
    <col min="10236" max="10238" width="11.42578125" style="69" customWidth="1"/>
    <col min="10239" max="10239" width="0.85546875" style="69" customWidth="1"/>
    <col min="10240" max="10240" width="47.42578125" style="69" bestFit="1" customWidth="1"/>
    <col min="10241" max="10243" width="11.42578125" style="69" customWidth="1"/>
    <col min="10244" max="10244" width="0.85546875" style="69" customWidth="1"/>
    <col min="10245" max="10245" width="16.7109375" style="69" bestFit="1" customWidth="1"/>
    <col min="10246" max="10246" width="0.85546875" style="69" customWidth="1"/>
    <col min="10247" max="10491" width="11.42578125" style="69"/>
    <col min="10492" max="10494" width="11.42578125" style="69" customWidth="1"/>
    <col min="10495" max="10495" width="0.85546875" style="69" customWidth="1"/>
    <col min="10496" max="10496" width="47.42578125" style="69" bestFit="1" customWidth="1"/>
    <col min="10497" max="10499" width="11.42578125" style="69" customWidth="1"/>
    <col min="10500" max="10500" width="0.85546875" style="69" customWidth="1"/>
    <col min="10501" max="10501" width="16.7109375" style="69" bestFit="1" customWidth="1"/>
    <col min="10502" max="10502" width="0.85546875" style="69" customWidth="1"/>
    <col min="10503" max="10747" width="11.42578125" style="69"/>
    <col min="10748" max="10750" width="11.42578125" style="69" customWidth="1"/>
    <col min="10751" max="10751" width="0.85546875" style="69" customWidth="1"/>
    <col min="10752" max="10752" width="47.42578125" style="69" bestFit="1" customWidth="1"/>
    <col min="10753" max="10755" width="11.42578125" style="69" customWidth="1"/>
    <col min="10756" max="10756" width="0.85546875" style="69" customWidth="1"/>
    <col min="10757" max="10757" width="16.7109375" style="69" bestFit="1" customWidth="1"/>
    <col min="10758" max="10758" width="0.85546875" style="69" customWidth="1"/>
    <col min="10759" max="11003" width="11.42578125" style="69"/>
    <col min="11004" max="11006" width="11.42578125" style="69" customWidth="1"/>
    <col min="11007" max="11007" width="0.85546875" style="69" customWidth="1"/>
    <col min="11008" max="11008" width="47.42578125" style="69" bestFit="1" customWidth="1"/>
    <col min="11009" max="11011" width="11.42578125" style="69" customWidth="1"/>
    <col min="11012" max="11012" width="0.85546875" style="69" customWidth="1"/>
    <col min="11013" max="11013" width="16.7109375" style="69" bestFit="1" customWidth="1"/>
    <col min="11014" max="11014" width="0.85546875" style="69" customWidth="1"/>
    <col min="11015" max="11259" width="11.42578125" style="69"/>
    <col min="11260" max="11262" width="11.42578125" style="69" customWidth="1"/>
    <col min="11263" max="11263" width="0.85546875" style="69" customWidth="1"/>
    <col min="11264" max="11264" width="47.42578125" style="69" bestFit="1" customWidth="1"/>
    <col min="11265" max="11267" width="11.42578125" style="69" customWidth="1"/>
    <col min="11268" max="11268" width="0.85546875" style="69" customWidth="1"/>
    <col min="11269" max="11269" width="16.7109375" style="69" bestFit="1" customWidth="1"/>
    <col min="11270" max="11270" width="0.85546875" style="69" customWidth="1"/>
    <col min="11271" max="11515" width="11.42578125" style="69"/>
    <col min="11516" max="11518" width="11.42578125" style="69" customWidth="1"/>
    <col min="11519" max="11519" width="0.85546875" style="69" customWidth="1"/>
    <col min="11520" max="11520" width="47.42578125" style="69" bestFit="1" customWidth="1"/>
    <col min="11521" max="11523" width="11.42578125" style="69" customWidth="1"/>
    <col min="11524" max="11524" width="0.85546875" style="69" customWidth="1"/>
    <col min="11525" max="11525" width="16.7109375" style="69" bestFit="1" customWidth="1"/>
    <col min="11526" max="11526" width="0.85546875" style="69" customWidth="1"/>
    <col min="11527" max="11771" width="11.42578125" style="69"/>
    <col min="11772" max="11774" width="11.42578125" style="69" customWidth="1"/>
    <col min="11775" max="11775" width="0.85546875" style="69" customWidth="1"/>
    <col min="11776" max="11776" width="47.42578125" style="69" bestFit="1" customWidth="1"/>
    <col min="11777" max="11779" width="11.42578125" style="69" customWidth="1"/>
    <col min="11780" max="11780" width="0.85546875" style="69" customWidth="1"/>
    <col min="11781" max="11781" width="16.7109375" style="69" bestFit="1" customWidth="1"/>
    <col min="11782" max="11782" width="0.85546875" style="69" customWidth="1"/>
    <col min="11783" max="12027" width="11.42578125" style="69"/>
    <col min="12028" max="12030" width="11.42578125" style="69" customWidth="1"/>
    <col min="12031" max="12031" width="0.85546875" style="69" customWidth="1"/>
    <col min="12032" max="12032" width="47.42578125" style="69" bestFit="1" customWidth="1"/>
    <col min="12033" max="12035" width="11.42578125" style="69" customWidth="1"/>
    <col min="12036" max="12036" width="0.85546875" style="69" customWidth="1"/>
    <col min="12037" max="12037" width="16.7109375" style="69" bestFit="1" customWidth="1"/>
    <col min="12038" max="12038" width="0.85546875" style="69" customWidth="1"/>
    <col min="12039" max="12283" width="11.42578125" style="69"/>
    <col min="12284" max="12286" width="11.42578125" style="69" customWidth="1"/>
    <col min="12287" max="12287" width="0.85546875" style="69" customWidth="1"/>
    <col min="12288" max="12288" width="47.42578125" style="69" bestFit="1" customWidth="1"/>
    <col min="12289" max="12291" width="11.42578125" style="69" customWidth="1"/>
    <col min="12292" max="12292" width="0.85546875" style="69" customWidth="1"/>
    <col min="12293" max="12293" width="16.7109375" style="69" bestFit="1" customWidth="1"/>
    <col min="12294" max="12294" width="0.85546875" style="69" customWidth="1"/>
    <col min="12295" max="12539" width="11.42578125" style="69"/>
    <col min="12540" max="12542" width="11.42578125" style="69" customWidth="1"/>
    <col min="12543" max="12543" width="0.85546875" style="69" customWidth="1"/>
    <col min="12544" max="12544" width="47.42578125" style="69" bestFit="1" customWidth="1"/>
    <col min="12545" max="12547" width="11.42578125" style="69" customWidth="1"/>
    <col min="12548" max="12548" width="0.85546875" style="69" customWidth="1"/>
    <col min="12549" max="12549" width="16.7109375" style="69" bestFit="1" customWidth="1"/>
    <col min="12550" max="12550" width="0.85546875" style="69" customWidth="1"/>
    <col min="12551" max="12795" width="11.42578125" style="69"/>
    <col min="12796" max="12798" width="11.42578125" style="69" customWidth="1"/>
    <col min="12799" max="12799" width="0.85546875" style="69" customWidth="1"/>
    <col min="12800" max="12800" width="47.42578125" style="69" bestFit="1" customWidth="1"/>
    <col min="12801" max="12803" width="11.42578125" style="69" customWidth="1"/>
    <col min="12804" max="12804" width="0.85546875" style="69" customWidth="1"/>
    <col min="12805" max="12805" width="16.7109375" style="69" bestFit="1" customWidth="1"/>
    <col min="12806" max="12806" width="0.85546875" style="69" customWidth="1"/>
    <col min="12807" max="13051" width="11.42578125" style="69"/>
    <col min="13052" max="13054" width="11.42578125" style="69" customWidth="1"/>
    <col min="13055" max="13055" width="0.85546875" style="69" customWidth="1"/>
    <col min="13056" max="13056" width="47.42578125" style="69" bestFit="1" customWidth="1"/>
    <col min="13057" max="13059" width="11.42578125" style="69" customWidth="1"/>
    <col min="13060" max="13060" width="0.85546875" style="69" customWidth="1"/>
    <col min="13061" max="13061" width="16.7109375" style="69" bestFit="1" customWidth="1"/>
    <col min="13062" max="13062" width="0.85546875" style="69" customWidth="1"/>
    <col min="13063" max="13307" width="11.42578125" style="69"/>
    <col min="13308" max="13310" width="11.42578125" style="69" customWidth="1"/>
    <col min="13311" max="13311" width="0.85546875" style="69" customWidth="1"/>
    <col min="13312" max="13312" width="47.42578125" style="69" bestFit="1" customWidth="1"/>
    <col min="13313" max="13315" width="11.42578125" style="69" customWidth="1"/>
    <col min="13316" max="13316" width="0.85546875" style="69" customWidth="1"/>
    <col min="13317" max="13317" width="16.7109375" style="69" bestFit="1" customWidth="1"/>
    <col min="13318" max="13318" width="0.85546875" style="69" customWidth="1"/>
    <col min="13319" max="13563" width="11.42578125" style="69"/>
    <col min="13564" max="13566" width="11.42578125" style="69" customWidth="1"/>
    <col min="13567" max="13567" width="0.85546875" style="69" customWidth="1"/>
    <col min="13568" max="13568" width="47.42578125" style="69" bestFit="1" customWidth="1"/>
    <col min="13569" max="13571" width="11.42578125" style="69" customWidth="1"/>
    <col min="13572" max="13572" width="0.85546875" style="69" customWidth="1"/>
    <col min="13573" max="13573" width="16.7109375" style="69" bestFit="1" customWidth="1"/>
    <col min="13574" max="13574" width="0.85546875" style="69" customWidth="1"/>
    <col min="13575" max="13819" width="11.42578125" style="69"/>
    <col min="13820" max="13822" width="11.42578125" style="69" customWidth="1"/>
    <col min="13823" max="13823" width="0.85546875" style="69" customWidth="1"/>
    <col min="13824" max="13824" width="47.42578125" style="69" bestFit="1" customWidth="1"/>
    <col min="13825" max="13827" width="11.42578125" style="69" customWidth="1"/>
    <col min="13828" max="13828" width="0.85546875" style="69" customWidth="1"/>
    <col min="13829" max="13829" width="16.7109375" style="69" bestFit="1" customWidth="1"/>
    <col min="13830" max="13830" width="0.85546875" style="69" customWidth="1"/>
    <col min="13831" max="14075" width="11.42578125" style="69"/>
    <col min="14076" max="14078" width="11.42578125" style="69" customWidth="1"/>
    <col min="14079" max="14079" width="0.85546875" style="69" customWidth="1"/>
    <col min="14080" max="14080" width="47.42578125" style="69" bestFit="1" customWidth="1"/>
    <col min="14081" max="14083" width="11.42578125" style="69" customWidth="1"/>
    <col min="14084" max="14084" width="0.85546875" style="69" customWidth="1"/>
    <col min="14085" max="14085" width="16.7109375" style="69" bestFit="1" customWidth="1"/>
    <col min="14086" max="14086" width="0.85546875" style="69" customWidth="1"/>
    <col min="14087" max="14331" width="11.42578125" style="69"/>
    <col min="14332" max="14334" width="11.42578125" style="69" customWidth="1"/>
    <col min="14335" max="14335" width="0.85546875" style="69" customWidth="1"/>
    <col min="14336" max="14336" width="47.42578125" style="69" bestFit="1" customWidth="1"/>
    <col min="14337" max="14339" width="11.42578125" style="69" customWidth="1"/>
    <col min="14340" max="14340" width="0.85546875" style="69" customWidth="1"/>
    <col min="14341" max="14341" width="16.7109375" style="69" bestFit="1" customWidth="1"/>
    <col min="14342" max="14342" width="0.85546875" style="69" customWidth="1"/>
    <col min="14343" max="14587" width="11.42578125" style="69"/>
    <col min="14588" max="14590" width="11.42578125" style="69" customWidth="1"/>
    <col min="14591" max="14591" width="0.85546875" style="69" customWidth="1"/>
    <col min="14592" max="14592" width="47.42578125" style="69" bestFit="1" customWidth="1"/>
    <col min="14593" max="14595" width="11.42578125" style="69" customWidth="1"/>
    <col min="14596" max="14596" width="0.85546875" style="69" customWidth="1"/>
    <col min="14597" max="14597" width="16.7109375" style="69" bestFit="1" customWidth="1"/>
    <col min="14598" max="14598" width="0.85546875" style="69" customWidth="1"/>
    <col min="14599" max="14843" width="11.42578125" style="69"/>
    <col min="14844" max="14846" width="11.42578125" style="69" customWidth="1"/>
    <col min="14847" max="14847" width="0.85546875" style="69" customWidth="1"/>
    <col min="14848" max="14848" width="47.42578125" style="69" bestFit="1" customWidth="1"/>
    <col min="14849" max="14851" width="11.42578125" style="69" customWidth="1"/>
    <col min="14852" max="14852" width="0.85546875" style="69" customWidth="1"/>
    <col min="14853" max="14853" width="16.7109375" style="69" bestFit="1" customWidth="1"/>
    <col min="14854" max="14854" width="0.85546875" style="69" customWidth="1"/>
    <col min="14855" max="15099" width="11.42578125" style="69"/>
    <col min="15100" max="15102" width="11.42578125" style="69" customWidth="1"/>
    <col min="15103" max="15103" width="0.85546875" style="69" customWidth="1"/>
    <col min="15104" max="15104" width="47.42578125" style="69" bestFit="1" customWidth="1"/>
    <col min="15105" max="15107" width="11.42578125" style="69" customWidth="1"/>
    <col min="15108" max="15108" width="0.85546875" style="69" customWidth="1"/>
    <col min="15109" max="15109" width="16.7109375" style="69" bestFit="1" customWidth="1"/>
    <col min="15110" max="15110" width="0.85546875" style="69" customWidth="1"/>
    <col min="15111" max="15355" width="11.42578125" style="69"/>
    <col min="15356" max="15358" width="11.42578125" style="69" customWidth="1"/>
    <col min="15359" max="15359" width="0.85546875" style="69" customWidth="1"/>
    <col min="15360" max="15360" width="47.42578125" style="69" bestFit="1" customWidth="1"/>
    <col min="15361" max="15363" width="11.42578125" style="69" customWidth="1"/>
    <col min="15364" max="15364" width="0.85546875" style="69" customWidth="1"/>
    <col min="15365" max="15365" width="16.7109375" style="69" bestFit="1" customWidth="1"/>
    <col min="15366" max="15366" width="0.85546875" style="69" customWidth="1"/>
    <col min="15367" max="15611" width="11.42578125" style="69"/>
    <col min="15612" max="15614" width="11.42578125" style="69" customWidth="1"/>
    <col min="15615" max="15615" width="0.85546875" style="69" customWidth="1"/>
    <col min="15616" max="15616" width="47.42578125" style="69" bestFit="1" customWidth="1"/>
    <col min="15617" max="15619" width="11.42578125" style="69" customWidth="1"/>
    <col min="15620" max="15620" width="0.85546875" style="69" customWidth="1"/>
    <col min="15621" max="15621" width="16.7109375" style="69" bestFit="1" customWidth="1"/>
    <col min="15622" max="15622" width="0.85546875" style="69" customWidth="1"/>
    <col min="15623" max="15867" width="11.42578125" style="69"/>
    <col min="15868" max="15870" width="11.42578125" style="69" customWidth="1"/>
    <col min="15871" max="15871" width="0.85546875" style="69" customWidth="1"/>
    <col min="15872" max="15872" width="47.42578125" style="69" bestFit="1" customWidth="1"/>
    <col min="15873" max="15875" width="11.42578125" style="69" customWidth="1"/>
    <col min="15876" max="15876" width="0.85546875" style="69" customWidth="1"/>
    <col min="15877" max="15877" width="16.7109375" style="69" bestFit="1" customWidth="1"/>
    <col min="15878" max="15878" width="0.85546875" style="69" customWidth="1"/>
    <col min="15879" max="16123" width="11.42578125" style="69"/>
    <col min="16124" max="16126" width="11.42578125" style="69" customWidth="1"/>
    <col min="16127" max="16127" width="0.85546875" style="69" customWidth="1"/>
    <col min="16128" max="16128" width="47.42578125" style="69" bestFit="1" customWidth="1"/>
    <col min="16129" max="16131" width="11.42578125" style="69" customWidth="1"/>
    <col min="16132" max="16132" width="0.85546875" style="69" customWidth="1"/>
    <col min="16133" max="16133" width="16.7109375" style="69" bestFit="1" customWidth="1"/>
    <col min="16134" max="16134" width="0.85546875" style="69" customWidth="1"/>
    <col min="16135" max="16384" width="11.42578125" style="69"/>
  </cols>
  <sheetData>
    <row r="3" spans="2:10" ht="15.75">
      <c r="D3" s="68" t="s">
        <v>120</v>
      </c>
      <c r="E3" s="66"/>
      <c r="F3" s="65"/>
    </row>
    <row r="4" spans="2:10">
      <c r="D4" s="70"/>
      <c r="E4" s="71"/>
      <c r="F4" s="72"/>
    </row>
    <row r="5" spans="2:10" s="102" customFormat="1">
      <c r="B5" s="69"/>
      <c r="C5" s="91"/>
      <c r="D5" s="75"/>
      <c r="E5" s="324"/>
      <c r="F5" s="324"/>
      <c r="I5" s="103"/>
      <c r="J5" s="69"/>
    </row>
    <row r="6" spans="2:10" s="102" customFormat="1">
      <c r="B6" s="69"/>
      <c r="C6" s="91"/>
      <c r="D6" s="77"/>
      <c r="E6" s="78" t="s">
        <v>114</v>
      </c>
      <c r="F6" s="79">
        <f>+'balance 2022 inicial '!G10</f>
        <v>650000000</v>
      </c>
      <c r="I6" s="103"/>
      <c r="J6" s="69"/>
    </row>
    <row r="7" spans="2:10" s="102" customFormat="1">
      <c r="B7" s="69"/>
      <c r="C7" s="91"/>
      <c r="D7" s="80"/>
      <c r="E7" s="104" t="s">
        <v>115</v>
      </c>
      <c r="F7" s="79">
        <v>350000000</v>
      </c>
      <c r="I7" s="103"/>
      <c r="J7" s="69"/>
    </row>
    <row r="8" spans="2:10" s="102" customFormat="1">
      <c r="B8" s="69"/>
      <c r="C8" s="91"/>
      <c r="D8" s="81"/>
      <c r="E8" s="84" t="s">
        <v>542</v>
      </c>
      <c r="F8" s="85">
        <f>+F6-F7</f>
        <v>300000000</v>
      </c>
      <c r="I8" s="103"/>
      <c r="J8" s="69"/>
    </row>
    <row r="10" spans="2:10" s="102" customFormat="1">
      <c r="B10" s="69"/>
      <c r="C10" s="91"/>
      <c r="D10" s="92"/>
      <c r="E10" s="78" t="s">
        <v>114</v>
      </c>
      <c r="F10" s="79">
        <f>+F6</f>
        <v>650000000</v>
      </c>
      <c r="I10" s="103"/>
      <c r="J10" s="69"/>
    </row>
    <row r="11" spans="2:10" s="102" customFormat="1">
      <c r="B11" s="69"/>
      <c r="C11" s="91"/>
      <c r="D11" s="92"/>
      <c r="E11" s="104" t="s">
        <v>115</v>
      </c>
      <c r="F11" s="79">
        <v>320000000</v>
      </c>
      <c r="I11" s="103"/>
      <c r="J11" s="69"/>
    </row>
    <row r="12" spans="2:10" s="102" customFormat="1">
      <c r="B12" s="69"/>
      <c r="C12" s="91"/>
      <c r="D12" s="92"/>
      <c r="E12" s="84" t="s">
        <v>543</v>
      </c>
      <c r="F12" s="85">
        <f>+F10-F11</f>
        <v>330000000</v>
      </c>
      <c r="I12" s="103"/>
      <c r="J12" s="69"/>
    </row>
  </sheetData>
  <mergeCells count="1">
    <mergeCell ref="E5:F5"/>
  </mergeCells>
  <pageMargins left="0.70866141732283472" right="0.70866141732283472" top="0.74803149606299213" bottom="0.74803149606299213" header="0.31496062992125984" footer="0.31496062992125984"/>
  <pageSetup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37"/>
  <sheetViews>
    <sheetView workbookViewId="0">
      <selection activeCell="J31" sqref="J31"/>
    </sheetView>
  </sheetViews>
  <sheetFormatPr baseColWidth="10" defaultRowHeight="15"/>
  <cols>
    <col min="3" max="3" width="16.140625" customWidth="1"/>
    <col min="4" max="4" width="11.5703125" customWidth="1"/>
    <col min="5" max="5" width="12.28515625" customWidth="1"/>
    <col min="12" max="12" width="13.140625" customWidth="1"/>
    <col min="13" max="13" width="13.42578125" customWidth="1"/>
  </cols>
  <sheetData>
    <row r="2" spans="3:13" ht="15.75" thickBot="1">
      <c r="C2" s="8" t="s">
        <v>136</v>
      </c>
    </row>
    <row r="3" spans="3:13">
      <c r="C3" s="107" t="s">
        <v>137</v>
      </c>
      <c r="D3" s="108" t="s">
        <v>13</v>
      </c>
      <c r="E3" s="108" t="s">
        <v>13</v>
      </c>
      <c r="F3" s="108" t="s">
        <v>138</v>
      </c>
      <c r="G3" s="108" t="s">
        <v>139</v>
      </c>
      <c r="H3" s="108" t="s">
        <v>140</v>
      </c>
      <c r="I3" s="108" t="s">
        <v>141</v>
      </c>
      <c r="J3" s="108" t="s">
        <v>141</v>
      </c>
      <c r="K3" s="108" t="s">
        <v>142</v>
      </c>
      <c r="L3" s="108" t="s">
        <v>142</v>
      </c>
      <c r="M3" s="109" t="s">
        <v>143</v>
      </c>
    </row>
    <row r="4" spans="3:13" ht="15.75" thickBot="1">
      <c r="C4" s="110"/>
      <c r="D4" s="111" t="s">
        <v>144</v>
      </c>
      <c r="E4" s="111" t="s">
        <v>145</v>
      </c>
      <c r="F4" s="111"/>
      <c r="G4" s="111"/>
      <c r="H4" s="111" t="s">
        <v>146</v>
      </c>
      <c r="I4" s="111" t="s">
        <v>146</v>
      </c>
      <c r="J4" s="111" t="s">
        <v>147</v>
      </c>
      <c r="K4" s="111" t="s">
        <v>148</v>
      </c>
      <c r="L4" s="111" t="s">
        <v>149</v>
      </c>
      <c r="M4" s="112" t="s">
        <v>150</v>
      </c>
    </row>
    <row r="5" spans="3:13">
      <c r="C5" s="113" t="s">
        <v>151</v>
      </c>
      <c r="D5" s="114">
        <v>3500000</v>
      </c>
      <c r="E5" s="114">
        <f>+D5/30</f>
        <v>116666.66666666667</v>
      </c>
      <c r="F5" s="115">
        <v>44562</v>
      </c>
      <c r="G5" s="115">
        <v>44926</v>
      </c>
      <c r="H5" s="113">
        <v>12</v>
      </c>
      <c r="I5" s="113">
        <v>0</v>
      </c>
      <c r="J5" s="113">
        <f>(H5+I5)*1.25</f>
        <v>15</v>
      </c>
      <c r="K5" s="113">
        <v>0</v>
      </c>
      <c r="L5" s="113">
        <f>+J5-K5</f>
        <v>15</v>
      </c>
      <c r="M5" s="114">
        <f>+L5*E5</f>
        <v>1750000</v>
      </c>
    </row>
    <row r="6" spans="3:13">
      <c r="C6" s="116" t="s">
        <v>152</v>
      </c>
      <c r="D6" s="117">
        <v>1000000</v>
      </c>
      <c r="E6" s="117">
        <f>+D6/30</f>
        <v>33333.333333333336</v>
      </c>
      <c r="F6" s="118">
        <v>44682</v>
      </c>
      <c r="G6" s="118">
        <f>+G5</f>
        <v>44926</v>
      </c>
      <c r="H6" s="116">
        <v>8</v>
      </c>
      <c r="I6" s="116">
        <v>0</v>
      </c>
      <c r="J6" s="116">
        <f t="shared" ref="J6:J7" si="0">(H6+I6)*1.25</f>
        <v>10</v>
      </c>
      <c r="K6" s="116">
        <v>3</v>
      </c>
      <c r="L6" s="116">
        <f t="shared" ref="L6:L7" si="1">+J6-K6</f>
        <v>7</v>
      </c>
      <c r="M6" s="117">
        <f t="shared" ref="M6:M7" si="2">+L6*E6</f>
        <v>233333.33333333334</v>
      </c>
    </row>
    <row r="7" spans="3:13" ht="15.75" thickBot="1">
      <c r="C7" s="116" t="s">
        <v>153</v>
      </c>
      <c r="D7" s="117">
        <v>500000</v>
      </c>
      <c r="E7" s="117">
        <f>+D7/30</f>
        <v>16666.666666666668</v>
      </c>
      <c r="F7" s="118">
        <v>44877</v>
      </c>
      <c r="G7" s="118">
        <f>+G6</f>
        <v>44926</v>
      </c>
      <c r="H7" s="116">
        <v>1</v>
      </c>
      <c r="I7" s="116">
        <f>18/30</f>
        <v>0.6</v>
      </c>
      <c r="J7" s="116">
        <f t="shared" si="0"/>
        <v>2</v>
      </c>
      <c r="K7" s="116">
        <v>0</v>
      </c>
      <c r="L7" s="116">
        <f t="shared" si="1"/>
        <v>2</v>
      </c>
      <c r="M7" s="119">
        <f t="shared" si="2"/>
        <v>33333.333333333336</v>
      </c>
    </row>
    <row r="8" spans="3:13" ht="15.75" thickBot="1">
      <c r="C8" s="63"/>
      <c r="D8" s="120">
        <f>SUM(D5:D7)</f>
        <v>5000000</v>
      </c>
      <c r="E8" s="120">
        <f>SUM(E5:E7)</f>
        <v>166666.66666666666</v>
      </c>
      <c r="F8" s="63"/>
      <c r="G8" s="63"/>
      <c r="H8" s="63"/>
      <c r="I8" s="63"/>
      <c r="J8" s="63"/>
      <c r="K8" s="63"/>
      <c r="L8" s="63"/>
      <c r="M8" s="120">
        <f>SUM(M5:M7)</f>
        <v>2016666.6666666665</v>
      </c>
    </row>
    <row r="9" spans="3:13" ht="15.75" thickBot="1">
      <c r="C9" s="63"/>
      <c r="D9" s="121"/>
      <c r="E9" s="121"/>
      <c r="F9" s="63"/>
      <c r="G9" s="63"/>
      <c r="H9" s="63"/>
      <c r="I9" s="63"/>
      <c r="J9" s="63"/>
      <c r="K9" s="63"/>
      <c r="L9" s="63"/>
      <c r="M9" s="121"/>
    </row>
    <row r="10" spans="3:13">
      <c r="C10" s="107" t="s">
        <v>137</v>
      </c>
      <c r="D10" s="108" t="s">
        <v>13</v>
      </c>
      <c r="E10" s="108" t="s">
        <v>13</v>
      </c>
      <c r="F10" s="108" t="s">
        <v>138</v>
      </c>
      <c r="G10" s="108" t="s">
        <v>139</v>
      </c>
      <c r="H10" s="108" t="s">
        <v>140</v>
      </c>
      <c r="I10" s="108" t="s">
        <v>141</v>
      </c>
      <c r="J10" s="108" t="s">
        <v>141</v>
      </c>
      <c r="K10" s="108" t="s">
        <v>142</v>
      </c>
      <c r="L10" s="108" t="s">
        <v>142</v>
      </c>
      <c r="M10" s="109" t="s">
        <v>143</v>
      </c>
    </row>
    <row r="11" spans="3:13" ht="15.75" thickBot="1">
      <c r="C11" s="110"/>
      <c r="D11" s="111" t="s">
        <v>144</v>
      </c>
      <c r="E11" s="111" t="s">
        <v>145</v>
      </c>
      <c r="F11" s="111"/>
      <c r="G11" s="111"/>
      <c r="H11" s="111" t="s">
        <v>146</v>
      </c>
      <c r="I11" s="111" t="s">
        <v>146</v>
      </c>
      <c r="J11" s="111" t="s">
        <v>147</v>
      </c>
      <c r="K11" s="111" t="s">
        <v>148</v>
      </c>
      <c r="L11" s="111" t="s">
        <v>149</v>
      </c>
      <c r="M11" s="112" t="s">
        <v>150</v>
      </c>
    </row>
    <row r="12" spans="3:13">
      <c r="C12" s="113" t="s">
        <v>151</v>
      </c>
      <c r="D12" s="114">
        <v>3700000</v>
      </c>
      <c r="E12" s="114">
        <f>+D12/30</f>
        <v>123333.33333333333</v>
      </c>
      <c r="F12" s="115">
        <v>44927</v>
      </c>
      <c r="G12" s="115">
        <v>45291</v>
      </c>
      <c r="H12" s="113">
        <v>12</v>
      </c>
      <c r="I12" s="113">
        <v>0</v>
      </c>
      <c r="J12" s="113">
        <f>(H12+I12)*1.25+L5</f>
        <v>30</v>
      </c>
      <c r="K12" s="113">
        <v>15</v>
      </c>
      <c r="L12" s="113">
        <f>+J12-K12</f>
        <v>15</v>
      </c>
      <c r="M12" s="114">
        <f>+L12*E12</f>
        <v>1850000</v>
      </c>
    </row>
    <row r="13" spans="3:13" ht="15.75" thickBot="1">
      <c r="C13" s="116" t="s">
        <v>152</v>
      </c>
      <c r="D13" s="117">
        <v>1200000</v>
      </c>
      <c r="E13" s="117">
        <f>+D13/30</f>
        <v>40000</v>
      </c>
      <c r="F13" s="118">
        <f>+F12</f>
        <v>44927</v>
      </c>
      <c r="G13" s="118">
        <f>+G12</f>
        <v>45291</v>
      </c>
      <c r="H13" s="116">
        <v>12</v>
      </c>
      <c r="I13" s="116">
        <v>0</v>
      </c>
      <c r="J13" s="113">
        <f>(H13+I13)*1.25+L6</f>
        <v>22</v>
      </c>
      <c r="K13" s="116">
        <v>7</v>
      </c>
      <c r="L13" s="116">
        <f t="shared" ref="L13:L14" si="3">+J13-K13</f>
        <v>15</v>
      </c>
      <c r="M13" s="117">
        <f t="shared" ref="M13:M14" si="4">+L13*E13</f>
        <v>600000</v>
      </c>
    </row>
    <row r="14" spans="3:13" ht="15.75" thickBot="1">
      <c r="C14" s="116" t="s">
        <v>153</v>
      </c>
      <c r="D14" s="120">
        <v>600000</v>
      </c>
      <c r="E14" s="117">
        <f>+D14/30</f>
        <v>20000</v>
      </c>
      <c r="F14" s="118">
        <f>+F13</f>
        <v>44927</v>
      </c>
      <c r="G14" s="118">
        <f>+G13</f>
        <v>45291</v>
      </c>
      <c r="H14" s="116">
        <f>+H13</f>
        <v>12</v>
      </c>
      <c r="I14" s="116">
        <v>0</v>
      </c>
      <c r="J14" s="113">
        <f>(H14+I14)*1.25+L7</f>
        <v>17</v>
      </c>
      <c r="K14" s="116">
        <v>17</v>
      </c>
      <c r="L14" s="116">
        <f t="shared" si="3"/>
        <v>0</v>
      </c>
      <c r="M14" s="119">
        <f t="shared" si="4"/>
        <v>0</v>
      </c>
    </row>
    <row r="15" spans="3:13" ht="15.75" thickBot="1">
      <c r="D15" s="120">
        <f>SUM(D12:D14)</f>
        <v>5500000</v>
      </c>
      <c r="E15" s="120">
        <f>SUM(E12:E14)</f>
        <v>183333.33333333331</v>
      </c>
      <c r="M15" s="120">
        <f>SUM(M12:M14)</f>
        <v>2450000</v>
      </c>
    </row>
    <row r="17" spans="3:10">
      <c r="C17" s="122" t="s">
        <v>154</v>
      </c>
    </row>
    <row r="18" spans="3:10">
      <c r="C18" t="s">
        <v>155</v>
      </c>
      <c r="G18" s="123">
        <f>+D5*12+D6*8+D7*1+E7*18</f>
        <v>50800000</v>
      </c>
    </row>
    <row r="19" spans="3:10">
      <c r="C19" t="s">
        <v>156</v>
      </c>
      <c r="G19" s="123">
        <f>+G18*5%</f>
        <v>2540000</v>
      </c>
      <c r="H19" s="123"/>
    </row>
    <row r="20" spans="3:10">
      <c r="E20" t="s">
        <v>157</v>
      </c>
      <c r="G20" s="123"/>
      <c r="H20" s="123">
        <f>+G18*19%+G19</f>
        <v>12192000</v>
      </c>
      <c r="J20">
        <f>+D8*24%</f>
        <v>1200000</v>
      </c>
    </row>
    <row r="21" spans="3:10">
      <c r="E21" t="s">
        <v>158</v>
      </c>
      <c r="G21" s="123"/>
      <c r="H21" s="123">
        <f>+G18+G19-H20</f>
        <v>41148000</v>
      </c>
    </row>
    <row r="22" spans="3:10">
      <c r="C22" s="124"/>
      <c r="G22" s="123"/>
      <c r="H22" s="123"/>
    </row>
    <row r="23" spans="3:10">
      <c r="C23" s="125" t="s">
        <v>159</v>
      </c>
      <c r="G23" s="123">
        <f>+M8</f>
        <v>2016666.6666666665</v>
      </c>
    </row>
    <row r="24" spans="3:10">
      <c r="D24" t="s">
        <v>160</v>
      </c>
      <c r="G24" s="123"/>
      <c r="H24" s="123">
        <f>+G23</f>
        <v>2016666.6666666665</v>
      </c>
    </row>
    <row r="25" spans="3:10">
      <c r="G25" s="123"/>
      <c r="H25" s="123"/>
    </row>
    <row r="26" spans="3:10">
      <c r="G26" s="123"/>
      <c r="H26" s="123"/>
    </row>
    <row r="27" spans="3:10">
      <c r="C27" s="49" t="s">
        <v>161</v>
      </c>
      <c r="G27" s="123"/>
    </row>
    <row r="28" spans="3:10">
      <c r="C28" t="s">
        <v>155</v>
      </c>
      <c r="G28" s="123">
        <f>+D15*12</f>
        <v>66000000</v>
      </c>
      <c r="H28" s="123"/>
    </row>
    <row r="29" spans="3:10">
      <c r="C29" t="s">
        <v>156</v>
      </c>
      <c r="G29" s="123">
        <f>+G28*5%</f>
        <v>3300000</v>
      </c>
      <c r="H29" s="123"/>
    </row>
    <row r="30" spans="3:10">
      <c r="E30" t="s">
        <v>157</v>
      </c>
      <c r="G30" s="123"/>
      <c r="H30" s="123">
        <f>+G28*19%+G29</f>
        <v>15840000</v>
      </c>
      <c r="J30">
        <f>+H30/12</f>
        <v>1320000</v>
      </c>
    </row>
    <row r="31" spans="3:10">
      <c r="E31" t="s">
        <v>158</v>
      </c>
      <c r="G31" s="123"/>
      <c r="H31" s="123">
        <f>+G28+G29-H30</f>
        <v>53460000</v>
      </c>
    </row>
    <row r="32" spans="3:10">
      <c r="G32" s="123"/>
      <c r="H32" s="123"/>
    </row>
    <row r="33" spans="3:8">
      <c r="C33" t="str">
        <f>+D24</f>
        <v xml:space="preserve">Provisión Vacaciones del  Personal </v>
      </c>
      <c r="G33" s="123">
        <f>+M8</f>
        <v>2016666.6666666665</v>
      </c>
    </row>
    <row r="34" spans="3:8">
      <c r="D34" t="str">
        <f>+C28</f>
        <v>Remuneraciones del Personal</v>
      </c>
      <c r="H34" s="123">
        <f>+G33</f>
        <v>2016666.6666666665</v>
      </c>
    </row>
    <row r="36" spans="3:8">
      <c r="C36" s="125" t="s">
        <v>159</v>
      </c>
      <c r="G36" s="123">
        <f>+M15</f>
        <v>2450000</v>
      </c>
    </row>
    <row r="37" spans="3:8">
      <c r="D37" t="s">
        <v>160</v>
      </c>
      <c r="G37" s="123"/>
      <c r="H37" s="123">
        <f>+G36</f>
        <v>2450000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1"/>
  <sheetViews>
    <sheetView workbookViewId="0">
      <selection activeCell="D47" sqref="D47"/>
    </sheetView>
  </sheetViews>
  <sheetFormatPr baseColWidth="10" defaultRowHeight="15"/>
  <cols>
    <col min="4" max="4" width="23.5703125" customWidth="1"/>
    <col min="5" max="5" width="13.7109375" bestFit="1" customWidth="1"/>
    <col min="6" max="6" width="13" bestFit="1" customWidth="1"/>
  </cols>
  <sheetData>
    <row r="2" spans="2:6">
      <c r="C2" s="48"/>
      <c r="D2" s="48"/>
      <c r="E2" s="105"/>
      <c r="F2" s="105"/>
    </row>
    <row r="3" spans="2:6">
      <c r="B3" t="s">
        <v>121</v>
      </c>
      <c r="C3" s="48" t="s">
        <v>122</v>
      </c>
      <c r="D3" s="48"/>
      <c r="E3" s="105">
        <f>9000*30000</f>
        <v>270000000</v>
      </c>
      <c r="F3" s="105"/>
    </row>
    <row r="4" spans="2:6">
      <c r="C4" s="48"/>
      <c r="D4" s="48" t="s">
        <v>123</v>
      </c>
      <c r="E4" s="105"/>
      <c r="F4" s="105">
        <f>+E3</f>
        <v>270000000</v>
      </c>
    </row>
    <row r="5" spans="2:6">
      <c r="C5" s="48"/>
      <c r="D5" s="48"/>
      <c r="E5" s="105"/>
      <c r="F5" s="105"/>
    </row>
    <row r="6" spans="2:6">
      <c r="B6" t="s">
        <v>185</v>
      </c>
      <c r="C6" s="48" t="s">
        <v>186</v>
      </c>
      <c r="D6" s="48"/>
      <c r="E6" s="105">
        <f>4000*30000</f>
        <v>120000000</v>
      </c>
      <c r="F6" s="105"/>
    </row>
    <row r="7" spans="2:6">
      <c r="C7" s="48"/>
      <c r="D7" s="48" t="str">
        <f>+C3</f>
        <v>acciones suscritas</v>
      </c>
      <c r="E7" s="105"/>
      <c r="F7" s="105">
        <f>+E6</f>
        <v>120000000</v>
      </c>
    </row>
    <row r="8" spans="2:6">
      <c r="C8" s="48"/>
      <c r="D8" s="48"/>
      <c r="E8" s="105"/>
      <c r="F8" s="105"/>
    </row>
    <row r="9" spans="2:6">
      <c r="B9" t="s">
        <v>303</v>
      </c>
      <c r="C9" s="48" t="s">
        <v>124</v>
      </c>
      <c r="D9" s="48"/>
      <c r="E9" s="105">
        <v>255000</v>
      </c>
      <c r="F9" s="105"/>
    </row>
    <row r="10" spans="2:6">
      <c r="C10" s="48"/>
      <c r="D10" s="48" t="s">
        <v>133</v>
      </c>
      <c r="E10" s="105"/>
      <c r="F10" s="105">
        <f>+E9</f>
        <v>255000</v>
      </c>
    </row>
    <row r="11" spans="2:6">
      <c r="C11" s="48"/>
      <c r="D11" s="48"/>
      <c r="E11" s="105"/>
      <c r="F11" s="105"/>
    </row>
    <row r="12" spans="2:6">
      <c r="B12" t="s">
        <v>187</v>
      </c>
      <c r="C12" s="48" t="s">
        <v>125</v>
      </c>
      <c r="D12" s="48"/>
      <c r="E12" s="105" t="e">
        <f>+'activo no corriente 2022 '!#REF!</f>
        <v>#REF!</v>
      </c>
      <c r="F12" s="105"/>
    </row>
    <row r="13" spans="2:6">
      <c r="C13" s="48"/>
      <c r="D13" s="48" t="s">
        <v>126</v>
      </c>
      <c r="E13" s="105"/>
      <c r="F13" s="105" t="e">
        <f>+E12</f>
        <v>#REF!</v>
      </c>
    </row>
    <row r="14" spans="2:6">
      <c r="C14" s="48"/>
      <c r="D14" s="48"/>
      <c r="E14" s="105"/>
      <c r="F14" s="105"/>
    </row>
    <row r="15" spans="2:6">
      <c r="B15" t="s">
        <v>188</v>
      </c>
      <c r="C15" s="48" t="s">
        <v>127</v>
      </c>
      <c r="D15" s="48"/>
      <c r="E15" s="105">
        <f>+'activo no corriente 2022 '!I16+'activo no corriente 2022 '!I58+'activo no corriente 2022 '!I127</f>
        <v>6880952.3809523806</v>
      </c>
      <c r="F15" s="105"/>
    </row>
    <row r="16" spans="2:6">
      <c r="C16" s="48"/>
      <c r="D16" s="48" t="s">
        <v>128</v>
      </c>
      <c r="E16" s="105"/>
      <c r="F16" s="105">
        <f>+E15</f>
        <v>6880952.3809523806</v>
      </c>
    </row>
    <row r="17" spans="2:10">
      <c r="C17" s="48"/>
      <c r="D17" s="48"/>
      <c r="E17" s="105"/>
      <c r="F17" s="105"/>
    </row>
    <row r="18" spans="2:10">
      <c r="B18" t="s">
        <v>189</v>
      </c>
      <c r="C18" s="48" t="s">
        <v>129</v>
      </c>
      <c r="D18" s="48"/>
      <c r="E18" s="105">
        <f>+'balance 2022 inicial '!D26-16188000</f>
        <v>173812000</v>
      </c>
      <c r="F18" s="105"/>
    </row>
    <row r="19" spans="2:10">
      <c r="C19" s="48"/>
      <c r="D19" s="48" t="s">
        <v>130</v>
      </c>
      <c r="E19" s="105"/>
      <c r="F19" s="105">
        <f>+'balance 2022 inicial '!C13-11685000</f>
        <v>111815000</v>
      </c>
    </row>
    <row r="20" spans="2:10">
      <c r="C20" t="s">
        <v>131</v>
      </c>
      <c r="D20" s="48"/>
      <c r="E20" s="105">
        <f>+'balance 2022 inicial '!D31-110000</f>
        <v>390000</v>
      </c>
      <c r="F20" s="105"/>
    </row>
    <row r="21" spans="2:10">
      <c r="D21" t="s">
        <v>186</v>
      </c>
      <c r="F21" s="106">
        <f>+E18+E20-F19</f>
        <v>62387000</v>
      </c>
    </row>
    <row r="23" spans="2:10">
      <c r="B23" t="s">
        <v>190</v>
      </c>
      <c r="C23" t="s">
        <v>124</v>
      </c>
      <c r="E23" s="105">
        <v>2556000</v>
      </c>
      <c r="F23" s="105"/>
    </row>
    <row r="24" spans="2:10">
      <c r="D24" t="s">
        <v>132</v>
      </c>
      <c r="E24" s="105"/>
      <c r="F24" s="105">
        <f>+E23</f>
        <v>2556000</v>
      </c>
    </row>
    <row r="25" spans="2:10">
      <c r="E25" s="105"/>
      <c r="F25" s="105"/>
    </row>
    <row r="26" spans="2:10">
      <c r="B26" t="s">
        <v>191</v>
      </c>
      <c r="C26" t="s">
        <v>134</v>
      </c>
      <c r="E26" s="105">
        <f>+J27-'balance 2022 inicial '!G16</f>
        <v>60000000</v>
      </c>
      <c r="F26" s="105"/>
      <c r="I26">
        <v>600000000</v>
      </c>
    </row>
    <row r="27" spans="2:10">
      <c r="C27" t="s">
        <v>389</v>
      </c>
      <c r="E27" s="105">
        <f>+I27-'balance 2022 inicial '!C17</f>
        <v>140000000</v>
      </c>
      <c r="F27" s="105"/>
      <c r="I27">
        <f>+I26*70%</f>
        <v>420000000</v>
      </c>
      <c r="J27">
        <f>+I26-I27</f>
        <v>180000000</v>
      </c>
    </row>
    <row r="28" spans="2:10">
      <c r="D28" t="s">
        <v>135</v>
      </c>
      <c r="E28" s="105"/>
      <c r="F28" s="105">
        <f>+E26+E27</f>
        <v>200000000</v>
      </c>
    </row>
    <row r="29" spans="2:10">
      <c r="E29" s="105"/>
      <c r="F29" s="105"/>
    </row>
    <row r="30" spans="2:10">
      <c r="B30" t="s">
        <v>164</v>
      </c>
      <c r="C30" t="s">
        <v>162</v>
      </c>
      <c r="E30" s="105">
        <f>+'prov vacaciones 2022 y 2023'!G23</f>
        <v>2016666.6666666665</v>
      </c>
      <c r="F30" s="105"/>
    </row>
    <row r="31" spans="2:10">
      <c r="D31" t="s">
        <v>163</v>
      </c>
      <c r="E31" s="105"/>
      <c r="F31" s="105">
        <f>+E30</f>
        <v>2016666.6666666665</v>
      </c>
    </row>
    <row r="32" spans="2:10">
      <c r="E32" s="105"/>
      <c r="F32" s="105"/>
    </row>
    <row r="33" spans="2:6">
      <c r="B33" t="s">
        <v>192</v>
      </c>
      <c r="C33" t="s">
        <v>165</v>
      </c>
      <c r="E33" s="105">
        <v>9000000</v>
      </c>
      <c r="F33" s="105"/>
    </row>
    <row r="34" spans="2:6">
      <c r="D34" t="s">
        <v>166</v>
      </c>
      <c r="F34" s="106">
        <f>+E33</f>
        <v>9000000</v>
      </c>
    </row>
    <row r="36" spans="2:6">
      <c r="B36" s="4" t="s">
        <v>193</v>
      </c>
      <c r="C36" s="4" t="s">
        <v>168</v>
      </c>
      <c r="D36" s="4"/>
      <c r="E36" s="320"/>
      <c r="F36" s="4"/>
    </row>
    <row r="37" spans="2:6">
      <c r="B37" s="4"/>
      <c r="C37" s="4" t="s">
        <v>169</v>
      </c>
      <c r="D37" s="4"/>
      <c r="E37" s="242"/>
      <c r="F37" s="320">
        <f>+E36</f>
        <v>0</v>
      </c>
    </row>
    <row r="38" spans="2:6">
      <c r="B38" s="4"/>
      <c r="C38" s="4"/>
      <c r="D38" s="4" t="s">
        <v>170</v>
      </c>
      <c r="E38" s="4"/>
      <c r="F38" s="242"/>
    </row>
    <row r="39" spans="2:6">
      <c r="B39" s="4"/>
      <c r="C39" s="4"/>
      <c r="D39" s="4"/>
      <c r="E39" s="4"/>
      <c r="F39" s="4"/>
    </row>
    <row r="40" spans="2:6">
      <c r="B40" s="4" t="s">
        <v>532</v>
      </c>
      <c r="C40" s="4" t="s">
        <v>531</v>
      </c>
      <c r="D40" s="4"/>
      <c r="E40" s="320"/>
      <c r="F40" s="4"/>
    </row>
    <row r="41" spans="2:6">
      <c r="B41" s="4"/>
      <c r="C41" s="4"/>
      <c r="D41" s="4" t="s">
        <v>170</v>
      </c>
      <c r="E41" s="4"/>
      <c r="F41" s="24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topLeftCell="A13" zoomScale="91" zoomScaleNormal="91" workbookViewId="0">
      <selection activeCell="D12" sqref="D12"/>
    </sheetView>
  </sheetViews>
  <sheetFormatPr baseColWidth="10" defaultRowHeight="15"/>
  <cols>
    <col min="1" max="1" width="7" style="63" bestFit="1" customWidth="1"/>
    <col min="2" max="2" width="37.85546875" customWidth="1"/>
    <col min="3" max="3" width="16.140625" customWidth="1"/>
    <col min="4" max="4" width="15.5703125" bestFit="1" customWidth="1"/>
    <col min="5" max="5" width="14.85546875" bestFit="1" customWidth="1"/>
    <col min="6" max="6" width="15.5703125" bestFit="1" customWidth="1"/>
    <col min="7" max="7" width="14.85546875" bestFit="1" customWidth="1"/>
    <col min="8" max="8" width="14.42578125" customWidth="1"/>
    <col min="9" max="9" width="14.28515625" bestFit="1" customWidth="1"/>
    <col min="10" max="10" width="15.5703125" bestFit="1" customWidth="1"/>
    <col min="12" max="12" width="14" bestFit="1" customWidth="1"/>
  </cols>
  <sheetData>
    <row r="1" spans="1:13">
      <c r="A1" s="59"/>
      <c r="B1" s="50"/>
      <c r="C1" s="51" t="s">
        <v>374</v>
      </c>
      <c r="D1" s="51"/>
      <c r="E1" s="51"/>
      <c r="F1" s="50"/>
      <c r="G1" s="50"/>
      <c r="H1" s="50"/>
      <c r="I1" s="50"/>
      <c r="J1" s="50"/>
    </row>
    <row r="2" spans="1:13">
      <c r="A2" s="59"/>
      <c r="B2" s="52" t="s">
        <v>376</v>
      </c>
      <c r="C2" s="50"/>
      <c r="D2" s="50"/>
      <c r="E2" s="50"/>
      <c r="F2" s="50"/>
      <c r="G2" s="50"/>
      <c r="H2" s="50"/>
      <c r="I2" s="50"/>
      <c r="J2" s="50"/>
    </row>
    <row r="3" spans="1:13">
      <c r="A3" s="59"/>
      <c r="B3" s="50"/>
      <c r="C3" s="50"/>
      <c r="D3" s="50"/>
      <c r="E3" s="50"/>
      <c r="F3" s="50"/>
      <c r="G3" s="50"/>
      <c r="H3" s="50"/>
      <c r="I3" s="50"/>
      <c r="J3" s="50"/>
    </row>
    <row r="4" spans="1:13">
      <c r="A4" s="58" t="s">
        <v>35</v>
      </c>
      <c r="B4" s="58" t="s">
        <v>36</v>
      </c>
      <c r="C4" s="58" t="s">
        <v>37</v>
      </c>
      <c r="D4" s="58" t="s">
        <v>38</v>
      </c>
      <c r="E4" s="58" t="s">
        <v>39</v>
      </c>
      <c r="F4" s="58" t="s">
        <v>40</v>
      </c>
      <c r="G4" s="58" t="s">
        <v>41</v>
      </c>
      <c r="H4" s="58" t="s">
        <v>42</v>
      </c>
      <c r="I4" s="58" t="s">
        <v>43</v>
      </c>
      <c r="J4" s="58" t="s">
        <v>44</v>
      </c>
    </row>
    <row r="5" spans="1:13">
      <c r="A5" s="60" t="s">
        <v>75</v>
      </c>
      <c r="B5" s="53" t="s">
        <v>80</v>
      </c>
      <c r="C5" s="47">
        <f>+'balance 2022 inicial '!C5+'ajustes 2022'!E6</f>
        <v>120400000</v>
      </c>
      <c r="D5" s="47">
        <f>+'balance 2022 inicial '!D5+'ajustes 2022'!F21</f>
        <v>62527200</v>
      </c>
      <c r="E5" s="47">
        <f>+IF(C5-D5&gt;0,C5-D5,0)</f>
        <v>57872800</v>
      </c>
      <c r="F5" s="47">
        <f>IF((D5-C5)&gt;0,D5-C5,0)</f>
        <v>0</v>
      </c>
      <c r="G5" s="47">
        <f t="shared" ref="G5:H20" si="0">IF(E5&gt;0,E5,0)</f>
        <v>57872800</v>
      </c>
      <c r="H5" s="47">
        <f t="shared" si="0"/>
        <v>0</v>
      </c>
      <c r="I5" s="47">
        <v>0</v>
      </c>
      <c r="J5" s="47">
        <v>0</v>
      </c>
    </row>
    <row r="6" spans="1:13">
      <c r="A6" s="60" t="s">
        <v>45</v>
      </c>
      <c r="B6" s="53" t="s">
        <v>46</v>
      </c>
      <c r="C6" s="47">
        <f>+'balance 2022 inicial '!C6</f>
        <v>1190000000</v>
      </c>
      <c r="D6" s="47">
        <f>+'balance 2022 inicial '!D6</f>
        <v>1170233000</v>
      </c>
      <c r="E6" s="47">
        <f>+IF(C6-D6&gt;0,C6-D6,0)</f>
        <v>19767000</v>
      </c>
      <c r="F6" s="47">
        <f>IF((D6-C6)&gt;0,D6-C6,0)</f>
        <v>0</v>
      </c>
      <c r="G6" s="47">
        <f t="shared" si="0"/>
        <v>19767000</v>
      </c>
      <c r="H6" s="47">
        <f t="shared" si="0"/>
        <v>0</v>
      </c>
      <c r="I6" s="47">
        <v>0</v>
      </c>
      <c r="J6" s="47">
        <v>0</v>
      </c>
    </row>
    <row r="7" spans="1:13">
      <c r="A7" s="60">
        <v>11011</v>
      </c>
      <c r="B7" s="53" t="s">
        <v>48</v>
      </c>
      <c r="C7" s="47">
        <f>+'balance 2022 inicial '!C7</f>
        <v>45000000</v>
      </c>
      <c r="D7" s="47">
        <f>+'balance 2022 inicial '!D7</f>
        <v>0</v>
      </c>
      <c r="E7" s="47">
        <f t="shared" ref="E7:E42" si="1">+IF(C7-D7&gt;0,C7-D7,0)</f>
        <v>45000000</v>
      </c>
      <c r="F7" s="47">
        <f t="shared" ref="F7:F42" si="2">IF((D7-C7)&gt;0,D7-C7,0)</f>
        <v>0</v>
      </c>
      <c r="G7" s="47">
        <f t="shared" si="0"/>
        <v>45000000</v>
      </c>
      <c r="H7" s="47">
        <f t="shared" si="0"/>
        <v>0</v>
      </c>
      <c r="I7" s="47">
        <v>0</v>
      </c>
      <c r="J7" s="47">
        <v>0</v>
      </c>
    </row>
    <row r="8" spans="1:13">
      <c r="A8" s="60">
        <v>11020</v>
      </c>
      <c r="B8" s="53" t="s">
        <v>101</v>
      </c>
      <c r="C8" s="47">
        <f>+'balance 2022 inicial '!C8</f>
        <v>125000000</v>
      </c>
      <c r="D8" s="47">
        <f>+'balance 2022 inicial '!D8</f>
        <v>90000000</v>
      </c>
      <c r="E8" s="47">
        <f t="shared" si="1"/>
        <v>35000000</v>
      </c>
      <c r="F8" s="47">
        <f t="shared" si="2"/>
        <v>0</v>
      </c>
      <c r="G8" s="47">
        <f t="shared" si="0"/>
        <v>35000000</v>
      </c>
      <c r="H8" s="47">
        <f t="shared" si="0"/>
        <v>0</v>
      </c>
      <c r="I8" s="47">
        <v>0</v>
      </c>
      <c r="J8" s="47">
        <v>0</v>
      </c>
    </row>
    <row r="9" spans="1:13">
      <c r="A9" s="60">
        <f>+A8+1</f>
        <v>11021</v>
      </c>
      <c r="B9" s="53" t="s">
        <v>58</v>
      </c>
      <c r="C9" s="47">
        <f>+'balance 2022 inicial '!C9</f>
        <v>0</v>
      </c>
      <c r="D9" s="47">
        <f>+'ajustes 2022'!F34</f>
        <v>9000000</v>
      </c>
      <c r="E9" s="47">
        <f t="shared" si="1"/>
        <v>0</v>
      </c>
      <c r="F9" s="47">
        <f t="shared" si="2"/>
        <v>9000000</v>
      </c>
      <c r="G9" s="47">
        <f t="shared" si="0"/>
        <v>0</v>
      </c>
      <c r="H9" s="47">
        <f t="shared" si="0"/>
        <v>9000000</v>
      </c>
      <c r="I9" s="47">
        <v>0</v>
      </c>
      <c r="J9" s="47">
        <v>0</v>
      </c>
    </row>
    <row r="10" spans="1:13">
      <c r="A10" s="60">
        <v>11051</v>
      </c>
      <c r="B10" s="53" t="s">
        <v>49</v>
      </c>
      <c r="C10" s="47">
        <f>+'balance 2022 inicial '!C10</f>
        <v>650000000</v>
      </c>
      <c r="D10" s="47">
        <f>+C43</f>
        <v>300000000</v>
      </c>
      <c r="E10" s="47">
        <f t="shared" si="1"/>
        <v>350000000</v>
      </c>
      <c r="F10" s="47">
        <f t="shared" si="2"/>
        <v>0</v>
      </c>
      <c r="G10" s="47">
        <f t="shared" si="0"/>
        <v>350000000</v>
      </c>
      <c r="H10" s="47">
        <f t="shared" si="0"/>
        <v>0</v>
      </c>
      <c r="I10" s="47">
        <v>0</v>
      </c>
      <c r="J10" s="47">
        <v>0</v>
      </c>
      <c r="M10" s="5"/>
    </row>
    <row r="11" spans="1:13" hidden="1">
      <c r="A11" s="60">
        <v>11071</v>
      </c>
      <c r="B11" s="53" t="s">
        <v>15</v>
      </c>
      <c r="C11" s="47">
        <f>+'balance 2022 inicial '!C11</f>
        <v>0</v>
      </c>
      <c r="D11" s="47">
        <f>+'balance 2022 inicial '!D11</f>
        <v>0</v>
      </c>
      <c r="E11" s="47">
        <f t="shared" si="1"/>
        <v>0</v>
      </c>
      <c r="F11" s="47">
        <f t="shared" si="2"/>
        <v>0</v>
      </c>
      <c r="G11" s="47">
        <f t="shared" si="0"/>
        <v>0</v>
      </c>
      <c r="H11" s="47">
        <f t="shared" si="0"/>
        <v>0</v>
      </c>
      <c r="I11" s="47">
        <v>0</v>
      </c>
      <c r="J11" s="47">
        <v>0</v>
      </c>
      <c r="M11" s="5"/>
    </row>
    <row r="12" spans="1:13">
      <c r="A12" s="60">
        <v>12001</v>
      </c>
      <c r="B12" s="53" t="s">
        <v>102</v>
      </c>
      <c r="C12" s="47">
        <f>+'balance 2022 inicial '!C12+'ajustes 2022'!E9+'ajustes 2022'!E23</f>
        <v>14011000</v>
      </c>
      <c r="D12" s="47">
        <f>+'balance 2022 inicial '!D12</f>
        <v>0</v>
      </c>
      <c r="E12" s="47">
        <f t="shared" si="1"/>
        <v>14011000</v>
      </c>
      <c r="F12" s="47">
        <f t="shared" si="2"/>
        <v>0</v>
      </c>
      <c r="G12" s="47">
        <f t="shared" si="0"/>
        <v>14011000</v>
      </c>
      <c r="H12" s="47">
        <f t="shared" si="0"/>
        <v>0</v>
      </c>
      <c r="I12" s="47">
        <v>0</v>
      </c>
      <c r="J12" s="47">
        <v>0</v>
      </c>
      <c r="M12" s="5"/>
    </row>
    <row r="13" spans="1:13">
      <c r="A13" s="60">
        <v>12002</v>
      </c>
      <c r="B13" s="53" t="s">
        <v>50</v>
      </c>
      <c r="C13" s="47">
        <f>+'balance 2022 inicial '!C13</f>
        <v>123500000</v>
      </c>
      <c r="D13" s="47">
        <f>+'ajustes 2022'!F19</f>
        <v>111815000</v>
      </c>
      <c r="E13" s="47">
        <f t="shared" si="1"/>
        <v>11685000</v>
      </c>
      <c r="F13" s="47">
        <f t="shared" si="2"/>
        <v>0</v>
      </c>
      <c r="G13" s="47">
        <f t="shared" si="0"/>
        <v>11685000</v>
      </c>
      <c r="H13" s="47">
        <f t="shared" si="0"/>
        <v>0</v>
      </c>
      <c r="I13" s="47">
        <v>0</v>
      </c>
      <c r="J13" s="47">
        <v>0</v>
      </c>
      <c r="M13" s="5"/>
    </row>
    <row r="14" spans="1:13" hidden="1">
      <c r="A14" s="60">
        <v>12003</v>
      </c>
      <c r="B14" s="53" t="s">
        <v>104</v>
      </c>
      <c r="C14" s="47">
        <f>+'balance 2022 inicial '!C14</f>
        <v>0</v>
      </c>
      <c r="D14" s="47">
        <f>+'balance 2022 inicial '!D14</f>
        <v>0</v>
      </c>
      <c r="E14" s="47">
        <f t="shared" si="1"/>
        <v>0</v>
      </c>
      <c r="F14" s="47">
        <f t="shared" si="2"/>
        <v>0</v>
      </c>
      <c r="G14" s="47">
        <f t="shared" si="0"/>
        <v>0</v>
      </c>
      <c r="H14" s="47">
        <f t="shared" si="0"/>
        <v>0</v>
      </c>
      <c r="I14" s="47">
        <v>0</v>
      </c>
      <c r="J14" s="47">
        <v>0</v>
      </c>
      <c r="M14" s="5"/>
    </row>
    <row r="15" spans="1:13">
      <c r="A15" s="60">
        <v>13001</v>
      </c>
      <c r="B15" s="53" t="s">
        <v>47</v>
      </c>
      <c r="C15" s="47">
        <f>+'balance 2022 inicial '!C15</f>
        <v>21000000</v>
      </c>
      <c r="D15" s="47">
        <f>+'balance 2022 inicial '!D15</f>
        <v>0</v>
      </c>
      <c r="E15" s="47">
        <f t="shared" si="1"/>
        <v>21000000</v>
      </c>
      <c r="F15" s="47">
        <f t="shared" si="2"/>
        <v>0</v>
      </c>
      <c r="G15" s="47">
        <f t="shared" si="0"/>
        <v>21000000</v>
      </c>
      <c r="H15" s="47">
        <f t="shared" si="0"/>
        <v>0</v>
      </c>
      <c r="I15" s="47">
        <v>0</v>
      </c>
      <c r="J15" s="47">
        <v>0</v>
      </c>
      <c r="M15" s="5"/>
    </row>
    <row r="16" spans="1:13">
      <c r="A16" s="60" t="s">
        <v>51</v>
      </c>
      <c r="B16" s="53" t="s">
        <v>52</v>
      </c>
      <c r="C16" s="47">
        <f>+'balance 2022 inicial '!C16+'ajustes 2022'!E26</f>
        <v>180000000</v>
      </c>
      <c r="D16" s="47">
        <f>+'balance 2022 inicial '!D16</f>
        <v>0</v>
      </c>
      <c r="E16" s="47">
        <f t="shared" si="1"/>
        <v>180000000</v>
      </c>
      <c r="F16" s="47">
        <f t="shared" si="2"/>
        <v>0</v>
      </c>
      <c r="G16" s="47">
        <f t="shared" si="0"/>
        <v>180000000</v>
      </c>
      <c r="H16" s="47">
        <f t="shared" si="0"/>
        <v>0</v>
      </c>
      <c r="I16" s="47">
        <v>0</v>
      </c>
      <c r="J16" s="47">
        <v>0</v>
      </c>
      <c r="M16" s="5"/>
    </row>
    <row r="17" spans="1:10">
      <c r="A17" s="60" t="s">
        <v>53</v>
      </c>
      <c r="B17" s="53" t="s">
        <v>375</v>
      </c>
      <c r="C17" s="47">
        <f>+'balance 2022 inicial '!C17+'ajustes 2022'!E27</f>
        <v>420000000</v>
      </c>
      <c r="D17" s="47">
        <f>+'balance 2022 inicial '!D17</f>
        <v>0</v>
      </c>
      <c r="E17" s="47">
        <f t="shared" si="1"/>
        <v>420000000</v>
      </c>
      <c r="F17" s="47">
        <f t="shared" si="2"/>
        <v>0</v>
      </c>
      <c r="G17" s="47">
        <f t="shared" si="0"/>
        <v>420000000</v>
      </c>
      <c r="H17" s="47">
        <f t="shared" si="0"/>
        <v>0</v>
      </c>
      <c r="I17" s="47">
        <v>0</v>
      </c>
      <c r="J17" s="47">
        <v>0</v>
      </c>
    </row>
    <row r="18" spans="1:10">
      <c r="A18" s="60">
        <v>15020</v>
      </c>
      <c r="B18" s="53" t="s">
        <v>381</v>
      </c>
      <c r="C18" s="47">
        <f>+'balance 2022 inicial '!C18</f>
        <v>5000000</v>
      </c>
      <c r="D18" s="47">
        <f>+'balance 2022 inicial '!D18</f>
        <v>0</v>
      </c>
      <c r="E18" s="47">
        <f t="shared" si="1"/>
        <v>5000000</v>
      </c>
      <c r="F18" s="47">
        <f t="shared" si="2"/>
        <v>0</v>
      </c>
      <c r="G18" s="47">
        <f t="shared" si="0"/>
        <v>5000000</v>
      </c>
      <c r="H18" s="47">
        <f t="shared" si="0"/>
        <v>0</v>
      </c>
      <c r="I18" s="47">
        <v>0</v>
      </c>
      <c r="J18" s="47">
        <v>0</v>
      </c>
    </row>
    <row r="19" spans="1:10">
      <c r="A19" s="60">
        <v>15031</v>
      </c>
      <c r="B19" s="53" t="s">
        <v>81</v>
      </c>
      <c r="C19" s="47">
        <f>+'balance 2022 inicial '!C19</f>
        <v>12000000</v>
      </c>
      <c r="D19" s="47">
        <f>+'balance 2022 inicial '!D19</f>
        <v>0</v>
      </c>
      <c r="E19" s="47">
        <f t="shared" si="1"/>
        <v>12000000</v>
      </c>
      <c r="F19" s="47">
        <f t="shared" si="2"/>
        <v>0</v>
      </c>
      <c r="G19" s="47">
        <f t="shared" si="0"/>
        <v>12000000</v>
      </c>
      <c r="H19" s="47">
        <f t="shared" si="0"/>
        <v>0</v>
      </c>
      <c r="I19" s="47">
        <v>0</v>
      </c>
      <c r="J19" s="47">
        <v>0</v>
      </c>
    </row>
    <row r="20" spans="1:10" hidden="1">
      <c r="A20" s="60">
        <v>15101</v>
      </c>
      <c r="B20" s="53" t="s">
        <v>97</v>
      </c>
      <c r="C20" s="47">
        <f>+'balance 2022 inicial '!C20</f>
        <v>0</v>
      </c>
      <c r="D20" s="47">
        <f>+'balance 2022 inicial '!D20</f>
        <v>0</v>
      </c>
      <c r="E20" s="47">
        <f t="shared" si="1"/>
        <v>0</v>
      </c>
      <c r="F20" s="47">
        <f t="shared" si="2"/>
        <v>0</v>
      </c>
      <c r="G20" s="47">
        <f t="shared" si="0"/>
        <v>0</v>
      </c>
      <c r="H20" s="47">
        <f t="shared" si="0"/>
        <v>0</v>
      </c>
      <c r="I20" s="47">
        <v>0</v>
      </c>
      <c r="J20" s="47">
        <v>0</v>
      </c>
    </row>
    <row r="21" spans="1:10" hidden="1">
      <c r="A21" s="60">
        <v>15102</v>
      </c>
      <c r="B21" s="53" t="s">
        <v>98</v>
      </c>
      <c r="C21" s="47">
        <f>+'balance 2022 inicial '!C21</f>
        <v>0</v>
      </c>
      <c r="D21" s="47">
        <f>+'balance 2022 inicial '!D21</f>
        <v>0</v>
      </c>
      <c r="E21" s="47">
        <f t="shared" si="1"/>
        <v>0</v>
      </c>
      <c r="F21" s="47">
        <f t="shared" si="2"/>
        <v>0</v>
      </c>
      <c r="G21" s="47">
        <f t="shared" ref="G21:H37" si="3">IF(E21&gt;0,E21,0)</f>
        <v>0</v>
      </c>
      <c r="H21" s="47">
        <f t="shared" si="3"/>
        <v>0</v>
      </c>
      <c r="I21" s="47">
        <v>0</v>
      </c>
      <c r="J21" s="47">
        <v>0</v>
      </c>
    </row>
    <row r="22" spans="1:10">
      <c r="A22" s="62">
        <v>15410</v>
      </c>
      <c r="B22" s="53" t="s">
        <v>54</v>
      </c>
      <c r="C22" s="47">
        <f>+'balance 2022 inicial '!C22</f>
        <v>0</v>
      </c>
      <c r="D22" s="47">
        <f>+'ajustes 2022'!F16</f>
        <v>6880952.3809523806</v>
      </c>
      <c r="E22" s="47">
        <f t="shared" si="1"/>
        <v>0</v>
      </c>
      <c r="F22" s="47">
        <f t="shared" si="2"/>
        <v>6880952.3809523806</v>
      </c>
      <c r="G22" s="47">
        <f t="shared" si="3"/>
        <v>0</v>
      </c>
      <c r="H22" s="47">
        <f t="shared" si="3"/>
        <v>6880952.3809523806</v>
      </c>
      <c r="I22" s="47">
        <v>0</v>
      </c>
      <c r="J22" s="47">
        <v>0</v>
      </c>
    </row>
    <row r="23" spans="1:10" hidden="1">
      <c r="A23" s="62">
        <v>15420</v>
      </c>
      <c r="B23" s="53" t="s">
        <v>84</v>
      </c>
      <c r="C23" s="47">
        <f>+'balance 2022 inicial '!C23</f>
        <v>0</v>
      </c>
      <c r="D23" s="47">
        <f>+'balance 2022 inicial '!D23</f>
        <v>0</v>
      </c>
      <c r="E23" s="47">
        <f t="shared" si="1"/>
        <v>0</v>
      </c>
      <c r="F23" s="47">
        <f t="shared" si="2"/>
        <v>0</v>
      </c>
      <c r="G23" s="47">
        <f t="shared" si="3"/>
        <v>0</v>
      </c>
      <c r="H23" s="47">
        <f t="shared" si="3"/>
        <v>0</v>
      </c>
      <c r="I23" s="47">
        <v>0</v>
      </c>
      <c r="J23" s="47">
        <v>0</v>
      </c>
    </row>
    <row r="24" spans="1:10">
      <c r="A24" s="62">
        <v>20001</v>
      </c>
      <c r="B24" s="53" t="s">
        <v>91</v>
      </c>
      <c r="C24" s="47">
        <f>+'balance 2022 inicial '!C24</f>
        <v>0</v>
      </c>
      <c r="D24" s="47">
        <f>+'balance 2022 inicial '!D24</f>
        <v>100000000</v>
      </c>
      <c r="E24" s="47">
        <f t="shared" si="1"/>
        <v>0</v>
      </c>
      <c r="F24" s="47">
        <f t="shared" si="2"/>
        <v>100000000</v>
      </c>
      <c r="G24" s="47">
        <f t="shared" si="3"/>
        <v>0</v>
      </c>
      <c r="H24" s="47">
        <f t="shared" si="3"/>
        <v>100000000</v>
      </c>
      <c r="I24" s="47"/>
      <c r="J24" s="47"/>
    </row>
    <row r="25" spans="1:10" hidden="1">
      <c r="A25" s="62">
        <v>20021</v>
      </c>
      <c r="B25" s="53" t="s">
        <v>92</v>
      </c>
      <c r="C25" s="47">
        <f>+'balance 2022 inicial '!C25</f>
        <v>0</v>
      </c>
      <c r="D25" s="47">
        <f>+'balance 2022 inicial '!D25</f>
        <v>0</v>
      </c>
      <c r="E25" s="47">
        <f t="shared" si="1"/>
        <v>0</v>
      </c>
      <c r="F25" s="47">
        <f t="shared" si="2"/>
        <v>0</v>
      </c>
      <c r="G25" s="47">
        <f t="shared" si="3"/>
        <v>0</v>
      </c>
      <c r="H25" s="47">
        <f t="shared" si="3"/>
        <v>0</v>
      </c>
      <c r="I25" s="47"/>
      <c r="J25" s="47"/>
    </row>
    <row r="26" spans="1:10">
      <c r="A26" s="62">
        <v>20151</v>
      </c>
      <c r="B26" s="53" t="s">
        <v>55</v>
      </c>
      <c r="C26" s="47">
        <f>+'ajustes 2022'!E18</f>
        <v>173812000</v>
      </c>
      <c r="D26" s="47">
        <f>+'balance 2022 inicial '!D26</f>
        <v>190000000</v>
      </c>
      <c r="E26" s="47">
        <f t="shared" si="1"/>
        <v>0</v>
      </c>
      <c r="F26" s="47">
        <f t="shared" si="2"/>
        <v>16188000</v>
      </c>
      <c r="G26" s="47">
        <f t="shared" si="3"/>
        <v>0</v>
      </c>
      <c r="H26" s="47">
        <f t="shared" si="3"/>
        <v>16188000</v>
      </c>
      <c r="I26" s="47"/>
      <c r="J26" s="47"/>
    </row>
    <row r="27" spans="1:10">
      <c r="A27" s="60" t="s">
        <v>56</v>
      </c>
      <c r="B27" s="53" t="s">
        <v>6</v>
      </c>
      <c r="C27" s="47">
        <f>+'balance 2022 inicial '!C27</f>
        <v>915000</v>
      </c>
      <c r="D27" s="47">
        <f>+'balance 2022 inicial '!D27</f>
        <v>187000000</v>
      </c>
      <c r="E27" s="47">
        <f t="shared" si="1"/>
        <v>0</v>
      </c>
      <c r="F27" s="47">
        <f t="shared" si="2"/>
        <v>186085000</v>
      </c>
      <c r="G27" s="47">
        <f t="shared" si="3"/>
        <v>0</v>
      </c>
      <c r="H27" s="47">
        <f t="shared" si="3"/>
        <v>186085000</v>
      </c>
      <c r="I27" s="47">
        <v>0</v>
      </c>
      <c r="J27" s="47">
        <v>0</v>
      </c>
    </row>
    <row r="28" spans="1:10">
      <c r="A28" s="60">
        <v>21002</v>
      </c>
      <c r="B28" s="53" t="s">
        <v>57</v>
      </c>
      <c r="C28" s="47">
        <f>+'balance 2022 inicial '!C28</f>
        <v>0</v>
      </c>
      <c r="D28" s="47">
        <f>+'balance 2022 inicial '!D28</f>
        <v>18000000</v>
      </c>
      <c r="E28" s="47">
        <f t="shared" si="1"/>
        <v>0</v>
      </c>
      <c r="F28" s="47">
        <f t="shared" si="2"/>
        <v>18000000</v>
      </c>
      <c r="G28" s="47">
        <f t="shared" si="3"/>
        <v>0</v>
      </c>
      <c r="H28" s="47">
        <f t="shared" si="3"/>
        <v>18000000</v>
      </c>
      <c r="I28" s="47">
        <v>0</v>
      </c>
      <c r="J28" s="47">
        <v>0</v>
      </c>
    </row>
    <row r="29" spans="1:10">
      <c r="A29" s="60">
        <v>22001</v>
      </c>
      <c r="B29" s="53" t="s">
        <v>105</v>
      </c>
      <c r="C29" s="47">
        <f>+'balance 2022 inicial '!C29</f>
        <v>41148000</v>
      </c>
      <c r="D29" s="47">
        <f>+'balance 2022 inicial '!D29</f>
        <v>41148000</v>
      </c>
      <c r="E29" s="47">
        <f t="shared" si="1"/>
        <v>0</v>
      </c>
      <c r="F29" s="47">
        <f t="shared" si="2"/>
        <v>0</v>
      </c>
      <c r="G29" s="47">
        <f t="shared" si="3"/>
        <v>0</v>
      </c>
      <c r="H29" s="47">
        <f t="shared" si="3"/>
        <v>0</v>
      </c>
      <c r="I29" s="47">
        <v>0</v>
      </c>
      <c r="J29" s="47">
        <v>0</v>
      </c>
    </row>
    <row r="30" spans="1:10">
      <c r="A30" s="60">
        <v>22002</v>
      </c>
      <c r="B30" s="53" t="s">
        <v>100</v>
      </c>
      <c r="C30" s="47">
        <f>+'balance 2022 inicial '!C30</f>
        <v>12099200</v>
      </c>
      <c r="D30" s="47">
        <f>+'balance 2022 inicial '!D30</f>
        <v>13422000</v>
      </c>
      <c r="E30" s="47">
        <f t="shared" si="1"/>
        <v>0</v>
      </c>
      <c r="F30" s="47">
        <f t="shared" si="2"/>
        <v>1322800</v>
      </c>
      <c r="G30" s="47">
        <f t="shared" si="3"/>
        <v>0</v>
      </c>
      <c r="H30" s="47">
        <f t="shared" si="3"/>
        <v>1322800</v>
      </c>
      <c r="I30" s="47">
        <v>0</v>
      </c>
      <c r="J30" s="47">
        <v>0</v>
      </c>
    </row>
    <row r="31" spans="1:10">
      <c r="A31" s="60">
        <v>22051</v>
      </c>
      <c r="B31" s="53" t="s">
        <v>60</v>
      </c>
      <c r="C31" s="47">
        <f>+'ajustes 2022'!E20</f>
        <v>390000</v>
      </c>
      <c r="D31" s="47">
        <f>+'balance 2022 inicial '!D31</f>
        <v>500000</v>
      </c>
      <c r="E31" s="47">
        <f t="shared" si="1"/>
        <v>0</v>
      </c>
      <c r="F31" s="47">
        <f t="shared" si="2"/>
        <v>110000</v>
      </c>
      <c r="G31" s="47">
        <f t="shared" si="3"/>
        <v>0</v>
      </c>
      <c r="H31" s="47">
        <f t="shared" si="3"/>
        <v>110000</v>
      </c>
      <c r="I31" s="47">
        <v>0</v>
      </c>
      <c r="J31" s="47">
        <v>0</v>
      </c>
    </row>
    <row r="32" spans="1:10" hidden="1">
      <c r="A32" s="61">
        <v>23001</v>
      </c>
      <c r="B32" s="53" t="s">
        <v>88</v>
      </c>
      <c r="C32" s="47">
        <f>+'balance 2022 inicial '!C32</f>
        <v>0</v>
      </c>
      <c r="D32" s="47">
        <f>+'balance 2022 inicial '!D32</f>
        <v>0</v>
      </c>
      <c r="E32" s="47">
        <f t="shared" si="1"/>
        <v>0</v>
      </c>
      <c r="F32" s="47">
        <f t="shared" si="2"/>
        <v>0</v>
      </c>
      <c r="G32" s="47">
        <f t="shared" si="3"/>
        <v>0</v>
      </c>
      <c r="H32" s="47">
        <f t="shared" si="3"/>
        <v>0</v>
      </c>
      <c r="I32" s="47">
        <v>0</v>
      </c>
      <c r="J32" s="47">
        <v>0</v>
      </c>
    </row>
    <row r="33" spans="1:10" hidden="1">
      <c r="A33" s="62">
        <v>24001</v>
      </c>
      <c r="B33" s="53" t="s">
        <v>61</v>
      </c>
      <c r="C33" s="47">
        <f>+'balance 2022 inicial '!C33</f>
        <v>0</v>
      </c>
      <c r="D33" s="47">
        <f>+'balance 2022 inicial '!D33</f>
        <v>0</v>
      </c>
      <c r="E33" s="47">
        <f t="shared" si="1"/>
        <v>0</v>
      </c>
      <c r="F33" s="47">
        <f t="shared" si="2"/>
        <v>0</v>
      </c>
      <c r="G33" s="47">
        <f t="shared" si="3"/>
        <v>0</v>
      </c>
      <c r="H33" s="47">
        <f t="shared" si="3"/>
        <v>0</v>
      </c>
      <c r="I33" s="47">
        <v>0</v>
      </c>
      <c r="J33" s="47">
        <v>0</v>
      </c>
    </row>
    <row r="34" spans="1:10" hidden="1">
      <c r="A34" s="61">
        <v>24002</v>
      </c>
      <c r="B34" s="53" t="s">
        <v>96</v>
      </c>
      <c r="C34" s="47">
        <f>+'balance 2022 inicial '!C34</f>
        <v>0</v>
      </c>
      <c r="D34" s="47">
        <f>+'balance 2022 inicial '!D34</f>
        <v>0</v>
      </c>
      <c r="E34" s="47">
        <f t="shared" si="1"/>
        <v>0</v>
      </c>
      <c r="F34" s="47">
        <f t="shared" si="2"/>
        <v>0</v>
      </c>
      <c r="G34" s="47">
        <f t="shared" si="3"/>
        <v>0</v>
      </c>
      <c r="H34" s="47">
        <f t="shared" si="3"/>
        <v>0</v>
      </c>
      <c r="I34" s="47">
        <v>0</v>
      </c>
      <c r="J34" s="47">
        <v>0</v>
      </c>
    </row>
    <row r="35" spans="1:10">
      <c r="A35" s="61">
        <v>24010</v>
      </c>
      <c r="B35" s="53" t="s">
        <v>103</v>
      </c>
      <c r="C35" s="47">
        <f>+'balance 2022 inicial '!C35</f>
        <v>0</v>
      </c>
      <c r="D35" s="47">
        <f>+'ajustes 2022'!F24</f>
        <v>2556000</v>
      </c>
      <c r="E35" s="47">
        <f t="shared" si="1"/>
        <v>0</v>
      </c>
      <c r="F35" s="47">
        <f t="shared" si="2"/>
        <v>2556000</v>
      </c>
      <c r="G35" s="47">
        <f t="shared" si="3"/>
        <v>0</v>
      </c>
      <c r="H35" s="47">
        <f t="shared" si="3"/>
        <v>2556000</v>
      </c>
      <c r="I35" s="47">
        <v>0</v>
      </c>
      <c r="J35" s="47">
        <v>0</v>
      </c>
    </row>
    <row r="36" spans="1:10">
      <c r="A36" s="60">
        <v>24015</v>
      </c>
      <c r="B36" s="53" t="s">
        <v>59</v>
      </c>
      <c r="C36" s="47">
        <f>+'balance 2022 inicial '!C36</f>
        <v>0</v>
      </c>
      <c r="D36" s="47">
        <f>+'ajustes 2022'!F31</f>
        <v>2016666.6666666665</v>
      </c>
      <c r="E36" s="47">
        <f t="shared" si="1"/>
        <v>0</v>
      </c>
      <c r="F36" s="47">
        <f t="shared" si="2"/>
        <v>2016666.6666666665</v>
      </c>
      <c r="G36" s="47">
        <f t="shared" si="3"/>
        <v>0</v>
      </c>
      <c r="H36" s="47">
        <f t="shared" si="3"/>
        <v>2016666.6666666665</v>
      </c>
      <c r="I36" s="47">
        <v>0</v>
      </c>
      <c r="J36" s="47">
        <v>0</v>
      </c>
    </row>
    <row r="37" spans="1:10" hidden="1">
      <c r="A37" s="61">
        <v>25001</v>
      </c>
      <c r="B37" s="53" t="s">
        <v>89</v>
      </c>
      <c r="C37" s="47">
        <f>+'balance 2022 inicial '!C37</f>
        <v>0</v>
      </c>
      <c r="D37" s="47">
        <f>+'balance 2022 inicial '!D37</f>
        <v>0</v>
      </c>
      <c r="E37" s="47">
        <f t="shared" si="1"/>
        <v>0</v>
      </c>
      <c r="F37" s="47">
        <f t="shared" si="2"/>
        <v>0</v>
      </c>
      <c r="G37" s="47">
        <f t="shared" si="3"/>
        <v>0</v>
      </c>
      <c r="H37" s="47">
        <f t="shared" si="3"/>
        <v>0</v>
      </c>
      <c r="I37" s="47">
        <v>0</v>
      </c>
      <c r="J37" s="47">
        <v>0</v>
      </c>
    </row>
    <row r="38" spans="1:10">
      <c r="A38" s="60">
        <v>33001</v>
      </c>
      <c r="B38" s="53" t="s">
        <v>72</v>
      </c>
      <c r="C38" s="47">
        <f>+'balance 2022 inicial '!C38</f>
        <v>0</v>
      </c>
      <c r="D38" s="47">
        <f>+'balance 2022 inicial '!D38</f>
        <v>300000000</v>
      </c>
      <c r="E38" s="47">
        <f t="shared" si="1"/>
        <v>0</v>
      </c>
      <c r="F38" s="47">
        <f t="shared" si="2"/>
        <v>300000000</v>
      </c>
      <c r="G38" s="47">
        <f t="shared" ref="G38:H42" si="4">IF(E38&gt;0,E38,0)</f>
        <v>0</v>
      </c>
      <c r="H38" s="47">
        <f t="shared" si="4"/>
        <v>300000000</v>
      </c>
      <c r="I38" s="47">
        <v>0</v>
      </c>
      <c r="J38" s="47">
        <v>0</v>
      </c>
    </row>
    <row r="39" spans="1:10">
      <c r="A39" s="60">
        <v>33002</v>
      </c>
      <c r="B39" s="53" t="s">
        <v>73</v>
      </c>
      <c r="C39" s="47">
        <f>+'balance 2022 inicial '!C39</f>
        <v>300000000</v>
      </c>
      <c r="D39" s="47">
        <f>+'ajustes 2022'!F4</f>
        <v>270000000</v>
      </c>
      <c r="E39" s="47">
        <f t="shared" si="1"/>
        <v>30000000</v>
      </c>
      <c r="F39" s="47">
        <f t="shared" si="2"/>
        <v>0</v>
      </c>
      <c r="G39" s="47">
        <f t="shared" si="4"/>
        <v>30000000</v>
      </c>
      <c r="H39" s="47">
        <f t="shared" si="4"/>
        <v>0</v>
      </c>
      <c r="I39" s="47">
        <v>0</v>
      </c>
      <c r="J39" s="47">
        <v>0</v>
      </c>
    </row>
    <row r="40" spans="1:10">
      <c r="A40" s="60">
        <v>33003</v>
      </c>
      <c r="B40" s="53" t="s">
        <v>74</v>
      </c>
      <c r="C40" s="47">
        <f>+'ajustes 2022'!E3</f>
        <v>270000000</v>
      </c>
      <c r="D40" s="47">
        <f>+'ajustes 2022'!F7</f>
        <v>120000000</v>
      </c>
      <c r="E40" s="47">
        <f t="shared" si="1"/>
        <v>150000000</v>
      </c>
      <c r="F40" s="47">
        <f t="shared" si="2"/>
        <v>0</v>
      </c>
      <c r="G40" s="47">
        <f t="shared" si="4"/>
        <v>150000000</v>
      </c>
      <c r="H40" s="47">
        <f t="shared" si="4"/>
        <v>0</v>
      </c>
      <c r="I40" s="47">
        <v>0</v>
      </c>
      <c r="J40" s="47">
        <v>0</v>
      </c>
    </row>
    <row r="41" spans="1:10">
      <c r="A41" s="60">
        <v>33011</v>
      </c>
      <c r="B41" s="53" t="s">
        <v>62</v>
      </c>
      <c r="C41" s="47">
        <f>+'balance 2022 inicial '!C41</f>
        <v>0</v>
      </c>
      <c r="D41" s="47">
        <f>+'ajustes 2022'!F28</f>
        <v>200000000</v>
      </c>
      <c r="E41" s="47">
        <f t="shared" si="1"/>
        <v>0</v>
      </c>
      <c r="F41" s="47">
        <f t="shared" si="2"/>
        <v>200000000</v>
      </c>
      <c r="G41" s="47">
        <f t="shared" si="4"/>
        <v>0</v>
      </c>
      <c r="H41" s="47">
        <f t="shared" si="4"/>
        <v>200000000</v>
      </c>
      <c r="I41" s="47">
        <v>0</v>
      </c>
      <c r="J41" s="47">
        <v>0</v>
      </c>
    </row>
    <row r="42" spans="1:10">
      <c r="A42" s="62">
        <v>34001</v>
      </c>
      <c r="B42" s="53" t="s">
        <v>76</v>
      </c>
      <c r="C42" s="47">
        <f>+'balance 2022 inicial '!C42</f>
        <v>100000000</v>
      </c>
      <c r="D42" s="47">
        <f>+'balance 2022 inicial '!D42</f>
        <v>0</v>
      </c>
      <c r="E42" s="47">
        <f t="shared" si="1"/>
        <v>100000000</v>
      </c>
      <c r="F42" s="47">
        <f t="shared" si="2"/>
        <v>0</v>
      </c>
      <c r="G42" s="47">
        <f t="shared" si="4"/>
        <v>100000000</v>
      </c>
      <c r="H42" s="47">
        <f t="shared" si="4"/>
        <v>0</v>
      </c>
      <c r="I42" s="47">
        <v>0</v>
      </c>
      <c r="J42" s="47">
        <v>0</v>
      </c>
    </row>
    <row r="43" spans="1:10">
      <c r="A43" s="62">
        <v>41001</v>
      </c>
      <c r="B43" s="53" t="s">
        <v>94</v>
      </c>
      <c r="C43" s="47">
        <f>+'costo existencias'!F8</f>
        <v>300000000</v>
      </c>
      <c r="D43" s="47">
        <f>+'balance 2022 inicial '!D43</f>
        <v>0</v>
      </c>
      <c r="E43" s="47">
        <f t="shared" ref="E43:E65" si="5">IF(C43&gt;D43,(C43-D43),0)</f>
        <v>300000000</v>
      </c>
      <c r="F43" s="47">
        <f t="shared" ref="F43:F65" si="6">IF(D43&gt;C43,D43-C43,0)</f>
        <v>0</v>
      </c>
      <c r="G43" s="47"/>
      <c r="H43" s="47"/>
      <c r="I43" s="47">
        <f t="shared" ref="I43:I65" si="7">IF(E43&gt;F43,E43,0)</f>
        <v>300000000</v>
      </c>
      <c r="J43" s="47">
        <f t="shared" ref="J43:J65" si="8">IF(F43&gt;E43,F43,0)</f>
        <v>0</v>
      </c>
    </row>
    <row r="44" spans="1:10">
      <c r="A44" s="62">
        <v>42001</v>
      </c>
      <c r="B44" s="53" t="s">
        <v>63</v>
      </c>
      <c r="C44" s="47">
        <f>+'balance 2022 inicial '!C44</f>
        <v>50800000</v>
      </c>
      <c r="D44" s="47">
        <f>+'balance 2022 inicial '!D44</f>
        <v>0</v>
      </c>
      <c r="E44" s="47">
        <f t="shared" si="5"/>
        <v>50800000</v>
      </c>
      <c r="F44" s="47">
        <f t="shared" si="6"/>
        <v>0</v>
      </c>
      <c r="G44" s="47"/>
      <c r="H44" s="47"/>
      <c r="I44" s="47">
        <f t="shared" si="7"/>
        <v>50800000</v>
      </c>
      <c r="J44" s="47">
        <f t="shared" si="8"/>
        <v>0</v>
      </c>
    </row>
    <row r="45" spans="1:10">
      <c r="A45" s="62">
        <v>42002</v>
      </c>
      <c r="B45" s="53" t="s">
        <v>77</v>
      </c>
      <c r="C45" s="47">
        <f>+'balance 2022 inicial '!C45</f>
        <v>2540000</v>
      </c>
      <c r="D45" s="47">
        <f>+'balance 2022 inicial '!D45</f>
        <v>0</v>
      </c>
      <c r="E45" s="47">
        <f t="shared" si="5"/>
        <v>2540000</v>
      </c>
      <c r="F45" s="47">
        <f t="shared" si="6"/>
        <v>0</v>
      </c>
      <c r="G45" s="47"/>
      <c r="H45" s="47"/>
      <c r="I45" s="47">
        <f t="shared" si="7"/>
        <v>2540000</v>
      </c>
      <c r="J45" s="47">
        <f t="shared" si="8"/>
        <v>0</v>
      </c>
    </row>
    <row r="46" spans="1:10">
      <c r="A46" s="62">
        <v>42051</v>
      </c>
      <c r="B46" s="53" t="s">
        <v>64</v>
      </c>
      <c r="C46" s="47">
        <f>+'balance 2022 inicial '!C46</f>
        <v>12345000</v>
      </c>
      <c r="D46" s="47">
        <f>+'balance 2022 inicial '!D46</f>
        <v>0</v>
      </c>
      <c r="E46" s="47">
        <f t="shared" si="5"/>
        <v>12345000</v>
      </c>
      <c r="F46" s="47">
        <f t="shared" si="6"/>
        <v>0</v>
      </c>
      <c r="G46" s="47"/>
      <c r="H46" s="47"/>
      <c r="I46" s="47">
        <f t="shared" si="7"/>
        <v>12345000</v>
      </c>
      <c r="J46" s="47">
        <f t="shared" si="8"/>
        <v>0</v>
      </c>
    </row>
    <row r="47" spans="1:10" hidden="1">
      <c r="A47" s="62">
        <v>43001</v>
      </c>
      <c r="B47" s="53" t="s">
        <v>95</v>
      </c>
      <c r="C47" s="47">
        <f>+'balance 2022 inicial '!C47</f>
        <v>0</v>
      </c>
      <c r="D47" s="47">
        <f>+'balance 2022 inicial '!D47</f>
        <v>0</v>
      </c>
      <c r="E47" s="47">
        <f t="shared" si="5"/>
        <v>0</v>
      </c>
      <c r="F47" s="47">
        <f t="shared" si="6"/>
        <v>0</v>
      </c>
      <c r="G47" s="47"/>
      <c r="H47" s="47"/>
      <c r="I47" s="47">
        <f t="shared" si="7"/>
        <v>0</v>
      </c>
      <c r="J47" s="47">
        <f t="shared" si="8"/>
        <v>0</v>
      </c>
    </row>
    <row r="48" spans="1:10">
      <c r="A48" s="62">
        <v>43002</v>
      </c>
      <c r="B48" s="53" t="s">
        <v>390</v>
      </c>
      <c r="C48" s="47">
        <f>+'ajustes 2022'!E30</f>
        <v>2016666.6666666665</v>
      </c>
      <c r="D48" s="47">
        <f>+'balance 2022 inicial '!D48</f>
        <v>0</v>
      </c>
      <c r="E48" s="47">
        <f t="shared" si="5"/>
        <v>2016666.6666666665</v>
      </c>
      <c r="F48" s="47">
        <f t="shared" si="6"/>
        <v>0</v>
      </c>
      <c r="G48" s="47"/>
      <c r="H48" s="47"/>
      <c r="I48" s="47">
        <f t="shared" si="7"/>
        <v>2016666.6666666665</v>
      </c>
      <c r="J48" s="47">
        <f t="shared" si="8"/>
        <v>0</v>
      </c>
    </row>
    <row r="49" spans="1:13">
      <c r="A49" s="62" t="s">
        <v>65</v>
      </c>
      <c r="B49" s="53" t="s">
        <v>66</v>
      </c>
      <c r="C49" s="47">
        <f>+'balance 2022 inicial '!C49</f>
        <v>3570000</v>
      </c>
      <c r="D49" s="47">
        <f>+'balance 2022 inicial '!D49</f>
        <v>0</v>
      </c>
      <c r="E49" s="47">
        <f t="shared" si="5"/>
        <v>3570000</v>
      </c>
      <c r="F49" s="47">
        <f t="shared" si="6"/>
        <v>0</v>
      </c>
      <c r="G49" s="47"/>
      <c r="H49" s="47"/>
      <c r="I49" s="47">
        <f t="shared" si="7"/>
        <v>3570000</v>
      </c>
      <c r="J49" s="47">
        <f t="shared" si="8"/>
        <v>0</v>
      </c>
    </row>
    <row r="50" spans="1:13" hidden="1">
      <c r="A50" s="62" t="s">
        <v>67</v>
      </c>
      <c r="B50" s="53" t="s">
        <v>68</v>
      </c>
      <c r="C50" s="47">
        <f>+'balance 2022 inicial '!C50</f>
        <v>0</v>
      </c>
      <c r="D50" s="47">
        <f>+'balance 2022 inicial '!D50</f>
        <v>0</v>
      </c>
      <c r="E50" s="47">
        <f t="shared" si="5"/>
        <v>0</v>
      </c>
      <c r="F50" s="47">
        <f t="shared" si="6"/>
        <v>0</v>
      </c>
      <c r="G50" s="47"/>
      <c r="H50" s="47"/>
      <c r="I50" s="47">
        <f t="shared" si="7"/>
        <v>0</v>
      </c>
      <c r="J50" s="47">
        <f t="shared" si="8"/>
        <v>0</v>
      </c>
    </row>
    <row r="51" spans="1:13" hidden="1">
      <c r="A51" s="62" t="s">
        <v>533</v>
      </c>
      <c r="B51" s="53" t="s">
        <v>534</v>
      </c>
      <c r="C51" s="47"/>
      <c r="D51" s="47">
        <f>+'balance 2022 inicial '!D51</f>
        <v>0</v>
      </c>
      <c r="E51" s="47">
        <f t="shared" ref="E51" si="9">IF(C51&gt;D51,(C51-D51),0)</f>
        <v>0</v>
      </c>
      <c r="F51" s="47">
        <f t="shared" ref="F51" si="10">IF(D51&gt;C51,D51-C51,0)</f>
        <v>0</v>
      </c>
      <c r="G51" s="47"/>
      <c r="H51" s="47"/>
      <c r="I51" s="47">
        <f t="shared" ref="I51" si="11">IF(E51&gt;F51,E51,0)</f>
        <v>0</v>
      </c>
      <c r="J51" s="47">
        <f t="shared" ref="J51" si="12">IF(F51&gt;E51,F51,0)</f>
        <v>0</v>
      </c>
    </row>
    <row r="52" spans="1:13">
      <c r="A52" s="62">
        <v>45101</v>
      </c>
      <c r="B52" s="53" t="s">
        <v>69</v>
      </c>
      <c r="C52" s="47">
        <f>+'balance 2022 inicial '!C51</f>
        <v>1874000</v>
      </c>
      <c r="D52" s="47">
        <f>+'balance 2022 inicial '!D51</f>
        <v>0</v>
      </c>
      <c r="E52" s="47">
        <f t="shared" si="5"/>
        <v>1874000</v>
      </c>
      <c r="F52" s="47">
        <f t="shared" si="6"/>
        <v>0</v>
      </c>
      <c r="G52" s="47"/>
      <c r="H52" s="47"/>
      <c r="I52" s="47">
        <f t="shared" si="7"/>
        <v>1874000</v>
      </c>
      <c r="J52" s="47">
        <f t="shared" si="8"/>
        <v>0</v>
      </c>
    </row>
    <row r="53" spans="1:13">
      <c r="A53" s="62">
        <v>46001</v>
      </c>
      <c r="B53" s="53" t="s">
        <v>167</v>
      </c>
      <c r="C53" s="47">
        <f>+'balance 2022 inicial '!C52</f>
        <v>2800000</v>
      </c>
      <c r="D53" s="47">
        <f>+'balance 2022 inicial '!D52</f>
        <v>0</v>
      </c>
      <c r="E53" s="47">
        <f t="shared" si="5"/>
        <v>2800000</v>
      </c>
      <c r="F53" s="47">
        <f t="shared" si="6"/>
        <v>0</v>
      </c>
      <c r="G53" s="47"/>
      <c r="H53" s="47"/>
      <c r="I53" s="47">
        <f t="shared" si="7"/>
        <v>2800000</v>
      </c>
      <c r="J53" s="47">
        <f t="shared" si="8"/>
        <v>0</v>
      </c>
    </row>
    <row r="54" spans="1:13">
      <c r="A54" s="62">
        <v>47141</v>
      </c>
      <c r="B54" s="53" t="s">
        <v>79</v>
      </c>
      <c r="C54" s="47">
        <f>+'ajustes 2022'!E33</f>
        <v>9000000</v>
      </c>
      <c r="D54" s="47">
        <f>+'balance 2022 inicial '!D53</f>
        <v>0</v>
      </c>
      <c r="E54" s="47">
        <f t="shared" si="5"/>
        <v>9000000</v>
      </c>
      <c r="F54" s="47">
        <f t="shared" si="6"/>
        <v>0</v>
      </c>
      <c r="G54" s="47"/>
      <c r="H54" s="47"/>
      <c r="I54" s="47">
        <f t="shared" si="7"/>
        <v>9000000</v>
      </c>
      <c r="J54" s="47">
        <f t="shared" si="8"/>
        <v>0</v>
      </c>
    </row>
    <row r="55" spans="1:13" hidden="1">
      <c r="A55" s="62">
        <v>47151</v>
      </c>
      <c r="B55" s="53" t="s">
        <v>82</v>
      </c>
      <c r="C55" s="47">
        <f>+'balance 2022 inicial '!C54</f>
        <v>0</v>
      </c>
      <c r="D55" s="47">
        <f>+'balance 2022 inicial '!D54</f>
        <v>0</v>
      </c>
      <c r="E55" s="47">
        <f t="shared" si="5"/>
        <v>0</v>
      </c>
      <c r="F55" s="47">
        <f t="shared" si="6"/>
        <v>0</v>
      </c>
      <c r="G55" s="47"/>
      <c r="H55" s="47"/>
      <c r="I55" s="47">
        <f t="shared" si="7"/>
        <v>0</v>
      </c>
      <c r="J55" s="47">
        <f t="shared" si="8"/>
        <v>0</v>
      </c>
    </row>
    <row r="56" spans="1:13" hidden="1">
      <c r="A56" s="62">
        <v>47152</v>
      </c>
      <c r="B56" s="53" t="s">
        <v>18</v>
      </c>
      <c r="C56" s="47">
        <f>+'balance 2022 inicial '!C55</f>
        <v>0</v>
      </c>
      <c r="D56" s="47">
        <f>+'balance 2022 inicial '!D55</f>
        <v>0</v>
      </c>
      <c r="E56" s="47">
        <f t="shared" si="5"/>
        <v>0</v>
      </c>
      <c r="F56" s="47">
        <f t="shared" si="6"/>
        <v>0</v>
      </c>
      <c r="G56" s="47"/>
      <c r="H56" s="47"/>
      <c r="I56" s="47">
        <f t="shared" si="7"/>
        <v>0</v>
      </c>
      <c r="J56" s="47">
        <f t="shared" si="8"/>
        <v>0</v>
      </c>
    </row>
    <row r="57" spans="1:13" hidden="1">
      <c r="A57" s="62">
        <v>48001</v>
      </c>
      <c r="B57" s="53" t="s">
        <v>83</v>
      </c>
      <c r="C57" s="47">
        <f>+'balance 2022 inicial '!C56</f>
        <v>0</v>
      </c>
      <c r="D57" s="47">
        <f>+'balance 2022 inicial '!D56</f>
        <v>0</v>
      </c>
      <c r="E57" s="47">
        <f t="shared" si="5"/>
        <v>0</v>
      </c>
      <c r="F57" s="47">
        <f t="shared" si="6"/>
        <v>0</v>
      </c>
      <c r="G57" s="47"/>
      <c r="H57" s="47"/>
      <c r="I57" s="47">
        <f t="shared" si="7"/>
        <v>0</v>
      </c>
      <c r="J57" s="47">
        <f t="shared" si="8"/>
        <v>0</v>
      </c>
      <c r="M57" s="5"/>
    </row>
    <row r="58" spans="1:13" hidden="1">
      <c r="A58" s="62">
        <v>48101</v>
      </c>
      <c r="B58" s="53" t="s">
        <v>93</v>
      </c>
      <c r="C58" s="47">
        <f>+'balance 2022 inicial '!C57</f>
        <v>0</v>
      </c>
      <c r="D58" s="47">
        <f>+'balance 2022 inicial '!D57</f>
        <v>0</v>
      </c>
      <c r="E58" s="47">
        <f t="shared" si="5"/>
        <v>0</v>
      </c>
      <c r="F58" s="47">
        <f t="shared" si="6"/>
        <v>0</v>
      </c>
      <c r="G58" s="47"/>
      <c r="H58" s="47"/>
      <c r="I58" s="47">
        <f t="shared" si="7"/>
        <v>0</v>
      </c>
      <c r="J58" s="47">
        <f t="shared" si="8"/>
        <v>0</v>
      </c>
      <c r="M58" s="5"/>
    </row>
    <row r="59" spans="1:13" hidden="1">
      <c r="A59" s="62">
        <v>48150</v>
      </c>
      <c r="B59" s="53" t="s">
        <v>87</v>
      </c>
      <c r="C59" s="47">
        <f>+'balance 2022 inicial '!C58</f>
        <v>0</v>
      </c>
      <c r="D59" s="47">
        <f>+'balance 2022 inicial '!D58</f>
        <v>0</v>
      </c>
      <c r="E59" s="47">
        <f t="shared" si="5"/>
        <v>0</v>
      </c>
      <c r="F59" s="47">
        <f t="shared" si="6"/>
        <v>0</v>
      </c>
      <c r="G59" s="47"/>
      <c r="H59" s="47"/>
      <c r="I59" s="47">
        <f t="shared" si="7"/>
        <v>0</v>
      </c>
      <c r="J59" s="47">
        <f t="shared" si="8"/>
        <v>0</v>
      </c>
      <c r="M59" s="5"/>
    </row>
    <row r="60" spans="1:13">
      <c r="A60" s="62">
        <v>49001</v>
      </c>
      <c r="B60" s="53" t="s">
        <v>85</v>
      </c>
      <c r="C60" s="47">
        <f>+'ajustes 2022'!E15</f>
        <v>6880952.3809523806</v>
      </c>
      <c r="D60" s="47">
        <f>+'balance 2022 inicial '!D59</f>
        <v>0</v>
      </c>
      <c r="E60" s="47">
        <f t="shared" si="5"/>
        <v>6880952.3809523806</v>
      </c>
      <c r="F60" s="47">
        <f t="shared" si="6"/>
        <v>0</v>
      </c>
      <c r="G60" s="47"/>
      <c r="H60" s="47"/>
      <c r="I60" s="47">
        <f t="shared" si="7"/>
        <v>6880952.3809523806</v>
      </c>
      <c r="J60" s="47">
        <f t="shared" si="8"/>
        <v>0</v>
      </c>
    </row>
    <row r="61" spans="1:13" hidden="1">
      <c r="A61" s="62">
        <v>49101</v>
      </c>
      <c r="B61" s="53" t="s">
        <v>86</v>
      </c>
      <c r="C61" s="47">
        <f>+'balance 2022 inicial '!C60</f>
        <v>0</v>
      </c>
      <c r="D61" s="47">
        <f>+'balance 2022 inicial '!D60</f>
        <v>0</v>
      </c>
      <c r="E61" s="47">
        <f t="shared" si="5"/>
        <v>0</v>
      </c>
      <c r="F61" s="47">
        <f t="shared" si="6"/>
        <v>0</v>
      </c>
      <c r="G61" s="47"/>
      <c r="H61" s="47"/>
      <c r="I61" s="47">
        <f t="shared" si="7"/>
        <v>0</v>
      </c>
      <c r="J61" s="47">
        <f t="shared" si="8"/>
        <v>0</v>
      </c>
    </row>
    <row r="62" spans="1:13" hidden="1">
      <c r="A62" s="62">
        <v>49120</v>
      </c>
      <c r="B62" s="53" t="s">
        <v>90</v>
      </c>
      <c r="C62" s="47">
        <f>+'balance 2022 inicial '!C61</f>
        <v>0</v>
      </c>
      <c r="D62" s="47">
        <f>+'balance 2022 inicial '!D61</f>
        <v>0</v>
      </c>
      <c r="E62" s="47">
        <f t="shared" si="5"/>
        <v>0</v>
      </c>
      <c r="F62" s="47">
        <f t="shared" si="6"/>
        <v>0</v>
      </c>
      <c r="G62" s="47"/>
      <c r="H62" s="47"/>
      <c r="I62" s="47">
        <f t="shared" si="7"/>
        <v>0</v>
      </c>
      <c r="J62" s="47">
        <f t="shared" si="8"/>
        <v>0</v>
      </c>
    </row>
    <row r="63" spans="1:13">
      <c r="A63" s="62">
        <v>50001</v>
      </c>
      <c r="B63" s="53" t="s">
        <v>70</v>
      </c>
      <c r="C63" s="47">
        <f>+'balance 2022 inicial '!C62</f>
        <v>0</v>
      </c>
      <c r="D63" s="47">
        <f>+'balance 2022 inicial '!D62</f>
        <v>748000</v>
      </c>
      <c r="E63" s="47">
        <f t="shared" si="5"/>
        <v>0</v>
      </c>
      <c r="F63" s="47">
        <f t="shared" si="6"/>
        <v>748000</v>
      </c>
      <c r="G63" s="47"/>
      <c r="H63" s="47"/>
      <c r="I63" s="47">
        <f t="shared" si="7"/>
        <v>0</v>
      </c>
      <c r="J63" s="47">
        <f t="shared" si="8"/>
        <v>748000</v>
      </c>
    </row>
    <row r="64" spans="1:13">
      <c r="A64" s="62">
        <v>50051</v>
      </c>
      <c r="B64" s="53" t="s">
        <v>78</v>
      </c>
      <c r="C64" s="47">
        <f>+'balance 2022 inicial '!C63</f>
        <v>0</v>
      </c>
      <c r="D64" s="47">
        <f>+'ajustes 2022'!F10</f>
        <v>255000</v>
      </c>
      <c r="E64" s="47">
        <f t="shared" si="5"/>
        <v>0</v>
      </c>
      <c r="F64" s="47">
        <f t="shared" si="6"/>
        <v>255000</v>
      </c>
      <c r="G64" s="47"/>
      <c r="H64" s="47"/>
      <c r="I64" s="47">
        <f t="shared" si="7"/>
        <v>0</v>
      </c>
      <c r="J64" s="47">
        <f t="shared" si="8"/>
        <v>255000</v>
      </c>
    </row>
    <row r="65" spans="1:10">
      <c r="A65" s="62">
        <v>51001</v>
      </c>
      <c r="B65" s="53" t="s">
        <v>71</v>
      </c>
      <c r="C65" s="47">
        <f>+'balance 2022 inicial '!C64</f>
        <v>0</v>
      </c>
      <c r="D65" s="47">
        <f>+'balance 2022 inicial '!D64</f>
        <v>1000000000</v>
      </c>
      <c r="E65" s="47">
        <f t="shared" si="5"/>
        <v>0</v>
      </c>
      <c r="F65" s="47">
        <f t="shared" si="6"/>
        <v>1000000000</v>
      </c>
      <c r="G65" s="47"/>
      <c r="H65" s="47"/>
      <c r="I65" s="47">
        <f t="shared" si="7"/>
        <v>0</v>
      </c>
      <c r="J65" s="47">
        <f t="shared" si="8"/>
        <v>1000000000</v>
      </c>
    </row>
    <row r="66" spans="1:10" ht="15.75">
      <c r="A66" s="59"/>
      <c r="B66" s="55"/>
      <c r="C66" s="56">
        <f>SUM(C5:C65)</f>
        <v>4196101819.0476189</v>
      </c>
      <c r="D66" s="56">
        <f>SUM(D5:D65)</f>
        <v>4196101819.0476189</v>
      </c>
      <c r="E66" s="56">
        <f>SUM(E5:E65)</f>
        <v>1843162419.0476191</v>
      </c>
      <c r="F66" s="56">
        <f>SUM(F5:F65)</f>
        <v>1843162419.0476191</v>
      </c>
      <c r="G66" s="56">
        <f>SUM(G5:G65)</f>
        <v>1451335800</v>
      </c>
      <c r="H66" s="56">
        <f>SUM(H5:H65)</f>
        <v>842159419.0476191</v>
      </c>
      <c r="I66" s="56">
        <f>SUM(I5:I65)</f>
        <v>391826619.04761904</v>
      </c>
      <c r="J66" s="56">
        <f>SUM(J5:J65)</f>
        <v>1001003000</v>
      </c>
    </row>
    <row r="67" spans="1:10" ht="15.75">
      <c r="A67" s="60"/>
      <c r="B67" s="57" t="s">
        <v>197</v>
      </c>
      <c r="C67" s="56"/>
      <c r="D67" s="56"/>
      <c r="E67" s="56"/>
      <c r="F67" s="56"/>
      <c r="G67" s="56"/>
      <c r="H67" s="56">
        <f>+G66-H66</f>
        <v>609176380.9523809</v>
      </c>
      <c r="I67" s="56">
        <f>+J66-I66</f>
        <v>609176380.9523809</v>
      </c>
      <c r="J67" s="56"/>
    </row>
    <row r="68" spans="1:10">
      <c r="A68" s="60"/>
      <c r="B68" s="53" t="s">
        <v>0</v>
      </c>
      <c r="C68" s="54">
        <f>+C66+C67</f>
        <v>4196101819.0476189</v>
      </c>
      <c r="D68" s="54">
        <f t="shared" ref="D68:J68" si="13">+D66+D67</f>
        <v>4196101819.0476189</v>
      </c>
      <c r="E68" s="54">
        <f t="shared" si="13"/>
        <v>1843162419.0476191</v>
      </c>
      <c r="F68" s="54">
        <f t="shared" si="13"/>
        <v>1843162419.0476191</v>
      </c>
      <c r="G68" s="54">
        <f t="shared" si="13"/>
        <v>1451335800</v>
      </c>
      <c r="H68" s="54">
        <f t="shared" si="13"/>
        <v>1451335800</v>
      </c>
      <c r="I68" s="54">
        <f t="shared" si="13"/>
        <v>1001003000</v>
      </c>
      <c r="J68" s="54">
        <f t="shared" si="13"/>
        <v>1001003000</v>
      </c>
    </row>
    <row r="69" spans="1:10">
      <c r="D69" s="5">
        <f>+C68-D68</f>
        <v>0</v>
      </c>
      <c r="E69" s="5"/>
      <c r="F69" s="5">
        <f t="shared" ref="F69" si="14">+E68-F68</f>
        <v>0</v>
      </c>
      <c r="G69" s="5"/>
      <c r="H69" s="5"/>
      <c r="I69" s="5"/>
      <c r="J69" s="5"/>
    </row>
  </sheetData>
  <pageMargins left="0.75" right="0.75" top="1" bottom="1" header="0.5" footer="0.5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02"/>
  <sheetViews>
    <sheetView showGridLines="0" topLeftCell="A93" zoomScale="112" zoomScaleNormal="112" workbookViewId="0">
      <selection activeCell="E5" sqref="E5"/>
    </sheetView>
  </sheetViews>
  <sheetFormatPr baseColWidth="10" defaultColWidth="14.5703125" defaultRowHeight="15"/>
  <cols>
    <col min="1" max="1" width="2.7109375" style="234" customWidth="1"/>
    <col min="2" max="2" width="79.140625" style="234" customWidth="1"/>
    <col min="3" max="3" width="55.28515625" style="234" customWidth="1"/>
    <col min="4" max="4" width="24.28515625" style="234" customWidth="1"/>
    <col min="5" max="5" width="16.5703125" style="234" customWidth="1"/>
    <col min="6" max="7" width="3.42578125" style="234" customWidth="1"/>
    <col min="8" max="244" width="11.42578125" style="234" customWidth="1"/>
    <col min="245" max="246" width="2.7109375" style="234" customWidth="1"/>
    <col min="247" max="250" width="14.5703125" style="234"/>
    <col min="251" max="251" width="2.7109375" style="234" customWidth="1"/>
    <col min="252" max="252" width="48.28515625" style="234" customWidth="1"/>
    <col min="253" max="253" width="34.28515625" style="234" customWidth="1"/>
    <col min="254" max="254" width="24.28515625" style="234" customWidth="1"/>
    <col min="255" max="255" width="16.5703125" style="234" customWidth="1"/>
    <col min="256" max="257" width="3.42578125" style="234" customWidth="1"/>
    <col min="258" max="258" width="11.42578125" style="234" customWidth="1"/>
    <col min="259" max="259" width="21.42578125" style="234" customWidth="1"/>
    <col min="260" max="500" width="11.42578125" style="234" customWidth="1"/>
    <col min="501" max="502" width="2.7109375" style="234" customWidth="1"/>
    <col min="503" max="506" width="14.5703125" style="234"/>
    <col min="507" max="507" width="2.7109375" style="234" customWidth="1"/>
    <col min="508" max="508" width="48.28515625" style="234" customWidth="1"/>
    <col min="509" max="509" width="34.28515625" style="234" customWidth="1"/>
    <col min="510" max="510" width="24.28515625" style="234" customWidth="1"/>
    <col min="511" max="511" width="16.5703125" style="234" customWidth="1"/>
    <col min="512" max="513" width="3.42578125" style="234" customWidth="1"/>
    <col min="514" max="514" width="11.42578125" style="234" customWidth="1"/>
    <col min="515" max="515" width="21.42578125" style="234" customWidth="1"/>
    <col min="516" max="756" width="11.42578125" style="234" customWidth="1"/>
    <col min="757" max="758" width="2.7109375" style="234" customWidth="1"/>
    <col min="759" max="762" width="14.5703125" style="234"/>
    <col min="763" max="763" width="2.7109375" style="234" customWidth="1"/>
    <col min="764" max="764" width="48.28515625" style="234" customWidth="1"/>
    <col min="765" max="765" width="34.28515625" style="234" customWidth="1"/>
    <col min="766" max="766" width="24.28515625" style="234" customWidth="1"/>
    <col min="767" max="767" width="16.5703125" style="234" customWidth="1"/>
    <col min="768" max="769" width="3.42578125" style="234" customWidth="1"/>
    <col min="770" max="770" width="11.42578125" style="234" customWidth="1"/>
    <col min="771" max="771" width="21.42578125" style="234" customWidth="1"/>
    <col min="772" max="1012" width="11.42578125" style="234" customWidth="1"/>
    <col min="1013" max="1014" width="2.7109375" style="234" customWidth="1"/>
    <col min="1015" max="1018" width="14.5703125" style="234"/>
    <col min="1019" max="1019" width="2.7109375" style="234" customWidth="1"/>
    <col min="1020" max="1020" width="48.28515625" style="234" customWidth="1"/>
    <col min="1021" max="1021" width="34.28515625" style="234" customWidth="1"/>
    <col min="1022" max="1022" width="24.28515625" style="234" customWidth="1"/>
    <col min="1023" max="1023" width="16.5703125" style="234" customWidth="1"/>
    <col min="1024" max="1025" width="3.42578125" style="234" customWidth="1"/>
    <col min="1026" max="1026" width="11.42578125" style="234" customWidth="1"/>
    <col min="1027" max="1027" width="21.42578125" style="234" customWidth="1"/>
    <col min="1028" max="1268" width="11.42578125" style="234" customWidth="1"/>
    <col min="1269" max="1270" width="2.7109375" style="234" customWidth="1"/>
    <col min="1271" max="1274" width="14.5703125" style="234"/>
    <col min="1275" max="1275" width="2.7109375" style="234" customWidth="1"/>
    <col min="1276" max="1276" width="48.28515625" style="234" customWidth="1"/>
    <col min="1277" max="1277" width="34.28515625" style="234" customWidth="1"/>
    <col min="1278" max="1278" width="24.28515625" style="234" customWidth="1"/>
    <col min="1279" max="1279" width="16.5703125" style="234" customWidth="1"/>
    <col min="1280" max="1281" width="3.42578125" style="234" customWidth="1"/>
    <col min="1282" max="1282" width="11.42578125" style="234" customWidth="1"/>
    <col min="1283" max="1283" width="21.42578125" style="234" customWidth="1"/>
    <col min="1284" max="1524" width="11.42578125" style="234" customWidth="1"/>
    <col min="1525" max="1526" width="2.7109375" style="234" customWidth="1"/>
    <col min="1527" max="1530" width="14.5703125" style="234"/>
    <col min="1531" max="1531" width="2.7109375" style="234" customWidth="1"/>
    <col min="1532" max="1532" width="48.28515625" style="234" customWidth="1"/>
    <col min="1533" max="1533" width="34.28515625" style="234" customWidth="1"/>
    <col min="1534" max="1534" width="24.28515625" style="234" customWidth="1"/>
    <col min="1535" max="1535" width="16.5703125" style="234" customWidth="1"/>
    <col min="1536" max="1537" width="3.42578125" style="234" customWidth="1"/>
    <col min="1538" max="1538" width="11.42578125" style="234" customWidth="1"/>
    <col min="1539" max="1539" width="21.42578125" style="234" customWidth="1"/>
    <col min="1540" max="1780" width="11.42578125" style="234" customWidth="1"/>
    <col min="1781" max="1782" width="2.7109375" style="234" customWidth="1"/>
    <col min="1783" max="1786" width="14.5703125" style="234"/>
    <col min="1787" max="1787" width="2.7109375" style="234" customWidth="1"/>
    <col min="1788" max="1788" width="48.28515625" style="234" customWidth="1"/>
    <col min="1789" max="1789" width="34.28515625" style="234" customWidth="1"/>
    <col min="1790" max="1790" width="24.28515625" style="234" customWidth="1"/>
    <col min="1791" max="1791" width="16.5703125" style="234" customWidth="1"/>
    <col min="1792" max="1793" width="3.42578125" style="234" customWidth="1"/>
    <col min="1794" max="1794" width="11.42578125" style="234" customWidth="1"/>
    <col min="1795" max="1795" width="21.42578125" style="234" customWidth="1"/>
    <col min="1796" max="2036" width="11.42578125" style="234" customWidth="1"/>
    <col min="2037" max="2038" width="2.7109375" style="234" customWidth="1"/>
    <col min="2039" max="2042" width="14.5703125" style="234"/>
    <col min="2043" max="2043" width="2.7109375" style="234" customWidth="1"/>
    <col min="2044" max="2044" width="48.28515625" style="234" customWidth="1"/>
    <col min="2045" max="2045" width="34.28515625" style="234" customWidth="1"/>
    <col min="2046" max="2046" width="24.28515625" style="234" customWidth="1"/>
    <col min="2047" max="2047" width="16.5703125" style="234" customWidth="1"/>
    <col min="2048" max="2049" width="3.42578125" style="234" customWidth="1"/>
    <col min="2050" max="2050" width="11.42578125" style="234" customWidth="1"/>
    <col min="2051" max="2051" width="21.42578125" style="234" customWidth="1"/>
    <col min="2052" max="2292" width="11.42578125" style="234" customWidth="1"/>
    <col min="2293" max="2294" width="2.7109375" style="234" customWidth="1"/>
    <col min="2295" max="2298" width="14.5703125" style="234"/>
    <col min="2299" max="2299" width="2.7109375" style="234" customWidth="1"/>
    <col min="2300" max="2300" width="48.28515625" style="234" customWidth="1"/>
    <col min="2301" max="2301" width="34.28515625" style="234" customWidth="1"/>
    <col min="2302" max="2302" width="24.28515625" style="234" customWidth="1"/>
    <col min="2303" max="2303" width="16.5703125" style="234" customWidth="1"/>
    <col min="2304" max="2305" width="3.42578125" style="234" customWidth="1"/>
    <col min="2306" max="2306" width="11.42578125" style="234" customWidth="1"/>
    <col min="2307" max="2307" width="21.42578125" style="234" customWidth="1"/>
    <col min="2308" max="2548" width="11.42578125" style="234" customWidth="1"/>
    <col min="2549" max="2550" width="2.7109375" style="234" customWidth="1"/>
    <col min="2551" max="2554" width="14.5703125" style="234"/>
    <col min="2555" max="2555" width="2.7109375" style="234" customWidth="1"/>
    <col min="2556" max="2556" width="48.28515625" style="234" customWidth="1"/>
    <col min="2557" max="2557" width="34.28515625" style="234" customWidth="1"/>
    <col min="2558" max="2558" width="24.28515625" style="234" customWidth="1"/>
    <col min="2559" max="2559" width="16.5703125" style="234" customWidth="1"/>
    <col min="2560" max="2561" width="3.42578125" style="234" customWidth="1"/>
    <col min="2562" max="2562" width="11.42578125" style="234" customWidth="1"/>
    <col min="2563" max="2563" width="21.42578125" style="234" customWidth="1"/>
    <col min="2564" max="2804" width="11.42578125" style="234" customWidth="1"/>
    <col min="2805" max="2806" width="2.7109375" style="234" customWidth="1"/>
    <col min="2807" max="2810" width="14.5703125" style="234"/>
    <col min="2811" max="2811" width="2.7109375" style="234" customWidth="1"/>
    <col min="2812" max="2812" width="48.28515625" style="234" customWidth="1"/>
    <col min="2813" max="2813" width="34.28515625" style="234" customWidth="1"/>
    <col min="2814" max="2814" width="24.28515625" style="234" customWidth="1"/>
    <col min="2815" max="2815" width="16.5703125" style="234" customWidth="1"/>
    <col min="2816" max="2817" width="3.42578125" style="234" customWidth="1"/>
    <col min="2818" max="2818" width="11.42578125" style="234" customWidth="1"/>
    <col min="2819" max="2819" width="21.42578125" style="234" customWidth="1"/>
    <col min="2820" max="3060" width="11.42578125" style="234" customWidth="1"/>
    <col min="3061" max="3062" width="2.7109375" style="234" customWidth="1"/>
    <col min="3063" max="3066" width="14.5703125" style="234"/>
    <col min="3067" max="3067" width="2.7109375" style="234" customWidth="1"/>
    <col min="3068" max="3068" width="48.28515625" style="234" customWidth="1"/>
    <col min="3069" max="3069" width="34.28515625" style="234" customWidth="1"/>
    <col min="3070" max="3070" width="24.28515625" style="234" customWidth="1"/>
    <col min="3071" max="3071" width="16.5703125" style="234" customWidth="1"/>
    <col min="3072" max="3073" width="3.42578125" style="234" customWidth="1"/>
    <col min="3074" max="3074" width="11.42578125" style="234" customWidth="1"/>
    <col min="3075" max="3075" width="21.42578125" style="234" customWidth="1"/>
    <col min="3076" max="3316" width="11.42578125" style="234" customWidth="1"/>
    <col min="3317" max="3318" width="2.7109375" style="234" customWidth="1"/>
    <col min="3319" max="3322" width="14.5703125" style="234"/>
    <col min="3323" max="3323" width="2.7109375" style="234" customWidth="1"/>
    <col min="3324" max="3324" width="48.28515625" style="234" customWidth="1"/>
    <col min="3325" max="3325" width="34.28515625" style="234" customWidth="1"/>
    <col min="3326" max="3326" width="24.28515625" style="234" customWidth="1"/>
    <col min="3327" max="3327" width="16.5703125" style="234" customWidth="1"/>
    <col min="3328" max="3329" width="3.42578125" style="234" customWidth="1"/>
    <col min="3330" max="3330" width="11.42578125" style="234" customWidth="1"/>
    <col min="3331" max="3331" width="21.42578125" style="234" customWidth="1"/>
    <col min="3332" max="3572" width="11.42578125" style="234" customWidth="1"/>
    <col min="3573" max="3574" width="2.7109375" style="234" customWidth="1"/>
    <col min="3575" max="3578" width="14.5703125" style="234"/>
    <col min="3579" max="3579" width="2.7109375" style="234" customWidth="1"/>
    <col min="3580" max="3580" width="48.28515625" style="234" customWidth="1"/>
    <col min="3581" max="3581" width="34.28515625" style="234" customWidth="1"/>
    <col min="3582" max="3582" width="24.28515625" style="234" customWidth="1"/>
    <col min="3583" max="3583" width="16.5703125" style="234" customWidth="1"/>
    <col min="3584" max="3585" width="3.42578125" style="234" customWidth="1"/>
    <col min="3586" max="3586" width="11.42578125" style="234" customWidth="1"/>
    <col min="3587" max="3587" width="21.42578125" style="234" customWidth="1"/>
    <col min="3588" max="3828" width="11.42578125" style="234" customWidth="1"/>
    <col min="3829" max="3830" width="2.7109375" style="234" customWidth="1"/>
    <col min="3831" max="3834" width="14.5703125" style="234"/>
    <col min="3835" max="3835" width="2.7109375" style="234" customWidth="1"/>
    <col min="3836" max="3836" width="48.28515625" style="234" customWidth="1"/>
    <col min="3837" max="3837" width="34.28515625" style="234" customWidth="1"/>
    <col min="3838" max="3838" width="24.28515625" style="234" customWidth="1"/>
    <col min="3839" max="3839" width="16.5703125" style="234" customWidth="1"/>
    <col min="3840" max="3841" width="3.42578125" style="234" customWidth="1"/>
    <col min="3842" max="3842" width="11.42578125" style="234" customWidth="1"/>
    <col min="3843" max="3843" width="21.42578125" style="234" customWidth="1"/>
    <col min="3844" max="4084" width="11.42578125" style="234" customWidth="1"/>
    <col min="4085" max="4086" width="2.7109375" style="234" customWidth="1"/>
    <col min="4087" max="4090" width="14.5703125" style="234"/>
    <col min="4091" max="4091" width="2.7109375" style="234" customWidth="1"/>
    <col min="4092" max="4092" width="48.28515625" style="234" customWidth="1"/>
    <col min="4093" max="4093" width="34.28515625" style="234" customWidth="1"/>
    <col min="4094" max="4094" width="24.28515625" style="234" customWidth="1"/>
    <col min="4095" max="4095" width="16.5703125" style="234" customWidth="1"/>
    <col min="4096" max="4097" width="3.42578125" style="234" customWidth="1"/>
    <col min="4098" max="4098" width="11.42578125" style="234" customWidth="1"/>
    <col min="4099" max="4099" width="21.42578125" style="234" customWidth="1"/>
    <col min="4100" max="4340" width="11.42578125" style="234" customWidth="1"/>
    <col min="4341" max="4342" width="2.7109375" style="234" customWidth="1"/>
    <col min="4343" max="4346" width="14.5703125" style="234"/>
    <col min="4347" max="4347" width="2.7109375" style="234" customWidth="1"/>
    <col min="4348" max="4348" width="48.28515625" style="234" customWidth="1"/>
    <col min="4349" max="4349" width="34.28515625" style="234" customWidth="1"/>
    <col min="4350" max="4350" width="24.28515625" style="234" customWidth="1"/>
    <col min="4351" max="4351" width="16.5703125" style="234" customWidth="1"/>
    <col min="4352" max="4353" width="3.42578125" style="234" customWidth="1"/>
    <col min="4354" max="4354" width="11.42578125" style="234" customWidth="1"/>
    <col min="4355" max="4355" width="21.42578125" style="234" customWidth="1"/>
    <col min="4356" max="4596" width="11.42578125" style="234" customWidth="1"/>
    <col min="4597" max="4598" width="2.7109375" style="234" customWidth="1"/>
    <col min="4599" max="4602" width="14.5703125" style="234"/>
    <col min="4603" max="4603" width="2.7109375" style="234" customWidth="1"/>
    <col min="4604" max="4604" width="48.28515625" style="234" customWidth="1"/>
    <col min="4605" max="4605" width="34.28515625" style="234" customWidth="1"/>
    <col min="4606" max="4606" width="24.28515625" style="234" customWidth="1"/>
    <col min="4607" max="4607" width="16.5703125" style="234" customWidth="1"/>
    <col min="4608" max="4609" width="3.42578125" style="234" customWidth="1"/>
    <col min="4610" max="4610" width="11.42578125" style="234" customWidth="1"/>
    <col min="4611" max="4611" width="21.42578125" style="234" customWidth="1"/>
    <col min="4612" max="4852" width="11.42578125" style="234" customWidth="1"/>
    <col min="4853" max="4854" width="2.7109375" style="234" customWidth="1"/>
    <col min="4855" max="4858" width="14.5703125" style="234"/>
    <col min="4859" max="4859" width="2.7109375" style="234" customWidth="1"/>
    <col min="4860" max="4860" width="48.28515625" style="234" customWidth="1"/>
    <col min="4861" max="4861" width="34.28515625" style="234" customWidth="1"/>
    <col min="4862" max="4862" width="24.28515625" style="234" customWidth="1"/>
    <col min="4863" max="4863" width="16.5703125" style="234" customWidth="1"/>
    <col min="4864" max="4865" width="3.42578125" style="234" customWidth="1"/>
    <col min="4866" max="4866" width="11.42578125" style="234" customWidth="1"/>
    <col min="4867" max="4867" width="21.42578125" style="234" customWidth="1"/>
    <col min="4868" max="5108" width="11.42578125" style="234" customWidth="1"/>
    <col min="5109" max="5110" width="2.7109375" style="234" customWidth="1"/>
    <col min="5111" max="5114" width="14.5703125" style="234"/>
    <col min="5115" max="5115" width="2.7109375" style="234" customWidth="1"/>
    <col min="5116" max="5116" width="48.28515625" style="234" customWidth="1"/>
    <col min="5117" max="5117" width="34.28515625" style="234" customWidth="1"/>
    <col min="5118" max="5118" width="24.28515625" style="234" customWidth="1"/>
    <col min="5119" max="5119" width="16.5703125" style="234" customWidth="1"/>
    <col min="5120" max="5121" width="3.42578125" style="234" customWidth="1"/>
    <col min="5122" max="5122" width="11.42578125" style="234" customWidth="1"/>
    <col min="5123" max="5123" width="21.42578125" style="234" customWidth="1"/>
    <col min="5124" max="5364" width="11.42578125" style="234" customWidth="1"/>
    <col min="5365" max="5366" width="2.7109375" style="234" customWidth="1"/>
    <col min="5367" max="5370" width="14.5703125" style="234"/>
    <col min="5371" max="5371" width="2.7109375" style="234" customWidth="1"/>
    <col min="5372" max="5372" width="48.28515625" style="234" customWidth="1"/>
    <col min="5373" max="5373" width="34.28515625" style="234" customWidth="1"/>
    <col min="5374" max="5374" width="24.28515625" style="234" customWidth="1"/>
    <col min="5375" max="5375" width="16.5703125" style="234" customWidth="1"/>
    <col min="5376" max="5377" width="3.42578125" style="234" customWidth="1"/>
    <col min="5378" max="5378" width="11.42578125" style="234" customWidth="1"/>
    <col min="5379" max="5379" width="21.42578125" style="234" customWidth="1"/>
    <col min="5380" max="5620" width="11.42578125" style="234" customWidth="1"/>
    <col min="5621" max="5622" width="2.7109375" style="234" customWidth="1"/>
    <col min="5623" max="5626" width="14.5703125" style="234"/>
    <col min="5627" max="5627" width="2.7109375" style="234" customWidth="1"/>
    <col min="5628" max="5628" width="48.28515625" style="234" customWidth="1"/>
    <col min="5629" max="5629" width="34.28515625" style="234" customWidth="1"/>
    <col min="5630" max="5630" width="24.28515625" style="234" customWidth="1"/>
    <col min="5631" max="5631" width="16.5703125" style="234" customWidth="1"/>
    <col min="5632" max="5633" width="3.42578125" style="234" customWidth="1"/>
    <col min="5634" max="5634" width="11.42578125" style="234" customWidth="1"/>
    <col min="5635" max="5635" width="21.42578125" style="234" customWidth="1"/>
    <col min="5636" max="5876" width="11.42578125" style="234" customWidth="1"/>
    <col min="5877" max="5878" width="2.7109375" style="234" customWidth="1"/>
    <col min="5879" max="5882" width="14.5703125" style="234"/>
    <col min="5883" max="5883" width="2.7109375" style="234" customWidth="1"/>
    <col min="5884" max="5884" width="48.28515625" style="234" customWidth="1"/>
    <col min="5885" max="5885" width="34.28515625" style="234" customWidth="1"/>
    <col min="5886" max="5886" width="24.28515625" style="234" customWidth="1"/>
    <col min="5887" max="5887" width="16.5703125" style="234" customWidth="1"/>
    <col min="5888" max="5889" width="3.42578125" style="234" customWidth="1"/>
    <col min="5890" max="5890" width="11.42578125" style="234" customWidth="1"/>
    <col min="5891" max="5891" width="21.42578125" style="234" customWidth="1"/>
    <col min="5892" max="6132" width="11.42578125" style="234" customWidth="1"/>
    <col min="6133" max="6134" width="2.7109375" style="234" customWidth="1"/>
    <col min="6135" max="6138" width="14.5703125" style="234"/>
    <col min="6139" max="6139" width="2.7109375" style="234" customWidth="1"/>
    <col min="6140" max="6140" width="48.28515625" style="234" customWidth="1"/>
    <col min="6141" max="6141" width="34.28515625" style="234" customWidth="1"/>
    <col min="6142" max="6142" width="24.28515625" style="234" customWidth="1"/>
    <col min="6143" max="6143" width="16.5703125" style="234" customWidth="1"/>
    <col min="6144" max="6145" width="3.42578125" style="234" customWidth="1"/>
    <col min="6146" max="6146" width="11.42578125" style="234" customWidth="1"/>
    <col min="6147" max="6147" width="21.42578125" style="234" customWidth="1"/>
    <col min="6148" max="6388" width="11.42578125" style="234" customWidth="1"/>
    <col min="6389" max="6390" width="2.7109375" style="234" customWidth="1"/>
    <col min="6391" max="6394" width="14.5703125" style="234"/>
    <col min="6395" max="6395" width="2.7109375" style="234" customWidth="1"/>
    <col min="6396" max="6396" width="48.28515625" style="234" customWidth="1"/>
    <col min="6397" max="6397" width="34.28515625" style="234" customWidth="1"/>
    <col min="6398" max="6398" width="24.28515625" style="234" customWidth="1"/>
    <col min="6399" max="6399" width="16.5703125" style="234" customWidth="1"/>
    <col min="6400" max="6401" width="3.42578125" style="234" customWidth="1"/>
    <col min="6402" max="6402" width="11.42578125" style="234" customWidth="1"/>
    <col min="6403" max="6403" width="21.42578125" style="234" customWidth="1"/>
    <col min="6404" max="6644" width="11.42578125" style="234" customWidth="1"/>
    <col min="6645" max="6646" width="2.7109375" style="234" customWidth="1"/>
    <col min="6647" max="6650" width="14.5703125" style="234"/>
    <col min="6651" max="6651" width="2.7109375" style="234" customWidth="1"/>
    <col min="6652" max="6652" width="48.28515625" style="234" customWidth="1"/>
    <col min="6653" max="6653" width="34.28515625" style="234" customWidth="1"/>
    <col min="6654" max="6654" width="24.28515625" style="234" customWidth="1"/>
    <col min="6655" max="6655" width="16.5703125" style="234" customWidth="1"/>
    <col min="6656" max="6657" width="3.42578125" style="234" customWidth="1"/>
    <col min="6658" max="6658" width="11.42578125" style="234" customWidth="1"/>
    <col min="6659" max="6659" width="21.42578125" style="234" customWidth="1"/>
    <col min="6660" max="6900" width="11.42578125" style="234" customWidth="1"/>
    <col min="6901" max="6902" width="2.7109375" style="234" customWidth="1"/>
    <col min="6903" max="6906" width="14.5703125" style="234"/>
    <col min="6907" max="6907" width="2.7109375" style="234" customWidth="1"/>
    <col min="6908" max="6908" width="48.28515625" style="234" customWidth="1"/>
    <col min="6909" max="6909" width="34.28515625" style="234" customWidth="1"/>
    <col min="6910" max="6910" width="24.28515625" style="234" customWidth="1"/>
    <col min="6911" max="6911" width="16.5703125" style="234" customWidth="1"/>
    <col min="6912" max="6913" width="3.42578125" style="234" customWidth="1"/>
    <col min="6914" max="6914" width="11.42578125" style="234" customWidth="1"/>
    <col min="6915" max="6915" width="21.42578125" style="234" customWidth="1"/>
    <col min="6916" max="7156" width="11.42578125" style="234" customWidth="1"/>
    <col min="7157" max="7158" width="2.7109375" style="234" customWidth="1"/>
    <col min="7159" max="7162" width="14.5703125" style="234"/>
    <col min="7163" max="7163" width="2.7109375" style="234" customWidth="1"/>
    <col min="7164" max="7164" width="48.28515625" style="234" customWidth="1"/>
    <col min="7165" max="7165" width="34.28515625" style="234" customWidth="1"/>
    <col min="7166" max="7166" width="24.28515625" style="234" customWidth="1"/>
    <col min="7167" max="7167" width="16.5703125" style="234" customWidth="1"/>
    <col min="7168" max="7169" width="3.42578125" style="234" customWidth="1"/>
    <col min="7170" max="7170" width="11.42578125" style="234" customWidth="1"/>
    <col min="7171" max="7171" width="21.42578125" style="234" customWidth="1"/>
    <col min="7172" max="7412" width="11.42578125" style="234" customWidth="1"/>
    <col min="7413" max="7414" width="2.7109375" style="234" customWidth="1"/>
    <col min="7415" max="7418" width="14.5703125" style="234"/>
    <col min="7419" max="7419" width="2.7109375" style="234" customWidth="1"/>
    <col min="7420" max="7420" width="48.28515625" style="234" customWidth="1"/>
    <col min="7421" max="7421" width="34.28515625" style="234" customWidth="1"/>
    <col min="7422" max="7422" width="24.28515625" style="234" customWidth="1"/>
    <col min="7423" max="7423" width="16.5703125" style="234" customWidth="1"/>
    <col min="7424" max="7425" width="3.42578125" style="234" customWidth="1"/>
    <col min="7426" max="7426" width="11.42578125" style="234" customWidth="1"/>
    <col min="7427" max="7427" width="21.42578125" style="234" customWidth="1"/>
    <col min="7428" max="7668" width="11.42578125" style="234" customWidth="1"/>
    <col min="7669" max="7670" width="2.7109375" style="234" customWidth="1"/>
    <col min="7671" max="7674" width="14.5703125" style="234"/>
    <col min="7675" max="7675" width="2.7109375" style="234" customWidth="1"/>
    <col min="7676" max="7676" width="48.28515625" style="234" customWidth="1"/>
    <col min="7677" max="7677" width="34.28515625" style="234" customWidth="1"/>
    <col min="7678" max="7678" width="24.28515625" style="234" customWidth="1"/>
    <col min="7679" max="7679" width="16.5703125" style="234" customWidth="1"/>
    <col min="7680" max="7681" width="3.42578125" style="234" customWidth="1"/>
    <col min="7682" max="7682" width="11.42578125" style="234" customWidth="1"/>
    <col min="7683" max="7683" width="21.42578125" style="234" customWidth="1"/>
    <col min="7684" max="7924" width="11.42578125" style="234" customWidth="1"/>
    <col min="7925" max="7926" width="2.7109375" style="234" customWidth="1"/>
    <col min="7927" max="7930" width="14.5703125" style="234"/>
    <col min="7931" max="7931" width="2.7109375" style="234" customWidth="1"/>
    <col min="7932" max="7932" width="48.28515625" style="234" customWidth="1"/>
    <col min="7933" max="7933" width="34.28515625" style="234" customWidth="1"/>
    <col min="7934" max="7934" width="24.28515625" style="234" customWidth="1"/>
    <col min="7935" max="7935" width="16.5703125" style="234" customWidth="1"/>
    <col min="7936" max="7937" width="3.42578125" style="234" customWidth="1"/>
    <col min="7938" max="7938" width="11.42578125" style="234" customWidth="1"/>
    <col min="7939" max="7939" width="21.42578125" style="234" customWidth="1"/>
    <col min="7940" max="8180" width="11.42578125" style="234" customWidth="1"/>
    <col min="8181" max="8182" width="2.7109375" style="234" customWidth="1"/>
    <col min="8183" max="8186" width="14.5703125" style="234"/>
    <col min="8187" max="8187" width="2.7109375" style="234" customWidth="1"/>
    <col min="8188" max="8188" width="48.28515625" style="234" customWidth="1"/>
    <col min="8189" max="8189" width="34.28515625" style="234" customWidth="1"/>
    <col min="8190" max="8190" width="24.28515625" style="234" customWidth="1"/>
    <col min="8191" max="8191" width="16.5703125" style="234" customWidth="1"/>
    <col min="8192" max="8193" width="3.42578125" style="234" customWidth="1"/>
    <col min="8194" max="8194" width="11.42578125" style="234" customWidth="1"/>
    <col min="8195" max="8195" width="21.42578125" style="234" customWidth="1"/>
    <col min="8196" max="8436" width="11.42578125" style="234" customWidth="1"/>
    <col min="8437" max="8438" width="2.7109375" style="234" customWidth="1"/>
    <col min="8439" max="8442" width="14.5703125" style="234"/>
    <col min="8443" max="8443" width="2.7109375" style="234" customWidth="1"/>
    <col min="8444" max="8444" width="48.28515625" style="234" customWidth="1"/>
    <col min="8445" max="8445" width="34.28515625" style="234" customWidth="1"/>
    <col min="8446" max="8446" width="24.28515625" style="234" customWidth="1"/>
    <col min="8447" max="8447" width="16.5703125" style="234" customWidth="1"/>
    <col min="8448" max="8449" width="3.42578125" style="234" customWidth="1"/>
    <col min="8450" max="8450" width="11.42578125" style="234" customWidth="1"/>
    <col min="8451" max="8451" width="21.42578125" style="234" customWidth="1"/>
    <col min="8452" max="8692" width="11.42578125" style="234" customWidth="1"/>
    <col min="8693" max="8694" width="2.7109375" style="234" customWidth="1"/>
    <col min="8695" max="8698" width="14.5703125" style="234"/>
    <col min="8699" max="8699" width="2.7109375" style="234" customWidth="1"/>
    <col min="8700" max="8700" width="48.28515625" style="234" customWidth="1"/>
    <col min="8701" max="8701" width="34.28515625" style="234" customWidth="1"/>
    <col min="8702" max="8702" width="24.28515625" style="234" customWidth="1"/>
    <col min="8703" max="8703" width="16.5703125" style="234" customWidth="1"/>
    <col min="8704" max="8705" width="3.42578125" style="234" customWidth="1"/>
    <col min="8706" max="8706" width="11.42578125" style="234" customWidth="1"/>
    <col min="8707" max="8707" width="21.42578125" style="234" customWidth="1"/>
    <col min="8708" max="8948" width="11.42578125" style="234" customWidth="1"/>
    <col min="8949" max="8950" width="2.7109375" style="234" customWidth="1"/>
    <col min="8951" max="8954" width="14.5703125" style="234"/>
    <col min="8955" max="8955" width="2.7109375" style="234" customWidth="1"/>
    <col min="8956" max="8956" width="48.28515625" style="234" customWidth="1"/>
    <col min="8957" max="8957" width="34.28515625" style="234" customWidth="1"/>
    <col min="8958" max="8958" width="24.28515625" style="234" customWidth="1"/>
    <col min="8959" max="8959" width="16.5703125" style="234" customWidth="1"/>
    <col min="8960" max="8961" width="3.42578125" style="234" customWidth="1"/>
    <col min="8962" max="8962" width="11.42578125" style="234" customWidth="1"/>
    <col min="8963" max="8963" width="21.42578125" style="234" customWidth="1"/>
    <col min="8964" max="9204" width="11.42578125" style="234" customWidth="1"/>
    <col min="9205" max="9206" width="2.7109375" style="234" customWidth="1"/>
    <col min="9207" max="9210" width="14.5703125" style="234"/>
    <col min="9211" max="9211" width="2.7109375" style="234" customWidth="1"/>
    <col min="9212" max="9212" width="48.28515625" style="234" customWidth="1"/>
    <col min="9213" max="9213" width="34.28515625" style="234" customWidth="1"/>
    <col min="9214" max="9214" width="24.28515625" style="234" customWidth="1"/>
    <col min="9215" max="9215" width="16.5703125" style="234" customWidth="1"/>
    <col min="9216" max="9217" width="3.42578125" style="234" customWidth="1"/>
    <col min="9218" max="9218" width="11.42578125" style="234" customWidth="1"/>
    <col min="9219" max="9219" width="21.42578125" style="234" customWidth="1"/>
    <col min="9220" max="9460" width="11.42578125" style="234" customWidth="1"/>
    <col min="9461" max="9462" width="2.7109375" style="234" customWidth="1"/>
    <col min="9463" max="9466" width="14.5703125" style="234"/>
    <col min="9467" max="9467" width="2.7109375" style="234" customWidth="1"/>
    <col min="9468" max="9468" width="48.28515625" style="234" customWidth="1"/>
    <col min="9469" max="9469" width="34.28515625" style="234" customWidth="1"/>
    <col min="9470" max="9470" width="24.28515625" style="234" customWidth="1"/>
    <col min="9471" max="9471" width="16.5703125" style="234" customWidth="1"/>
    <col min="9472" max="9473" width="3.42578125" style="234" customWidth="1"/>
    <col min="9474" max="9474" width="11.42578125" style="234" customWidth="1"/>
    <col min="9475" max="9475" width="21.42578125" style="234" customWidth="1"/>
    <col min="9476" max="9716" width="11.42578125" style="234" customWidth="1"/>
    <col min="9717" max="9718" width="2.7109375" style="234" customWidth="1"/>
    <col min="9719" max="9722" width="14.5703125" style="234"/>
    <col min="9723" max="9723" width="2.7109375" style="234" customWidth="1"/>
    <col min="9724" max="9724" width="48.28515625" style="234" customWidth="1"/>
    <col min="9725" max="9725" width="34.28515625" style="234" customWidth="1"/>
    <col min="9726" max="9726" width="24.28515625" style="234" customWidth="1"/>
    <col min="9727" max="9727" width="16.5703125" style="234" customWidth="1"/>
    <col min="9728" max="9729" width="3.42578125" style="234" customWidth="1"/>
    <col min="9730" max="9730" width="11.42578125" style="234" customWidth="1"/>
    <col min="9731" max="9731" width="21.42578125" style="234" customWidth="1"/>
    <col min="9732" max="9972" width="11.42578125" style="234" customWidth="1"/>
    <col min="9973" max="9974" width="2.7109375" style="234" customWidth="1"/>
    <col min="9975" max="9978" width="14.5703125" style="234"/>
    <col min="9979" max="9979" width="2.7109375" style="234" customWidth="1"/>
    <col min="9980" max="9980" width="48.28515625" style="234" customWidth="1"/>
    <col min="9981" max="9981" width="34.28515625" style="234" customWidth="1"/>
    <col min="9982" max="9982" width="24.28515625" style="234" customWidth="1"/>
    <col min="9983" max="9983" width="16.5703125" style="234" customWidth="1"/>
    <col min="9984" max="9985" width="3.42578125" style="234" customWidth="1"/>
    <col min="9986" max="9986" width="11.42578125" style="234" customWidth="1"/>
    <col min="9987" max="9987" width="21.42578125" style="234" customWidth="1"/>
    <col min="9988" max="10228" width="11.42578125" style="234" customWidth="1"/>
    <col min="10229" max="10230" width="2.7109375" style="234" customWidth="1"/>
    <col min="10231" max="10234" width="14.5703125" style="234"/>
    <col min="10235" max="10235" width="2.7109375" style="234" customWidth="1"/>
    <col min="10236" max="10236" width="48.28515625" style="234" customWidth="1"/>
    <col min="10237" max="10237" width="34.28515625" style="234" customWidth="1"/>
    <col min="10238" max="10238" width="24.28515625" style="234" customWidth="1"/>
    <col min="10239" max="10239" width="16.5703125" style="234" customWidth="1"/>
    <col min="10240" max="10241" width="3.42578125" style="234" customWidth="1"/>
    <col min="10242" max="10242" width="11.42578125" style="234" customWidth="1"/>
    <col min="10243" max="10243" width="21.42578125" style="234" customWidth="1"/>
    <col min="10244" max="10484" width="11.42578125" style="234" customWidth="1"/>
    <col min="10485" max="10486" width="2.7109375" style="234" customWidth="1"/>
    <col min="10487" max="10490" width="14.5703125" style="234"/>
    <col min="10491" max="10491" width="2.7109375" style="234" customWidth="1"/>
    <col min="10492" max="10492" width="48.28515625" style="234" customWidth="1"/>
    <col min="10493" max="10493" width="34.28515625" style="234" customWidth="1"/>
    <col min="10494" max="10494" width="24.28515625" style="234" customWidth="1"/>
    <col min="10495" max="10495" width="16.5703125" style="234" customWidth="1"/>
    <col min="10496" max="10497" width="3.42578125" style="234" customWidth="1"/>
    <col min="10498" max="10498" width="11.42578125" style="234" customWidth="1"/>
    <col min="10499" max="10499" width="21.42578125" style="234" customWidth="1"/>
    <col min="10500" max="10740" width="11.42578125" style="234" customWidth="1"/>
    <col min="10741" max="10742" width="2.7109375" style="234" customWidth="1"/>
    <col min="10743" max="10746" width="14.5703125" style="234"/>
    <col min="10747" max="10747" width="2.7109375" style="234" customWidth="1"/>
    <col min="10748" max="10748" width="48.28515625" style="234" customWidth="1"/>
    <col min="10749" max="10749" width="34.28515625" style="234" customWidth="1"/>
    <col min="10750" max="10750" width="24.28515625" style="234" customWidth="1"/>
    <col min="10751" max="10751" width="16.5703125" style="234" customWidth="1"/>
    <col min="10752" max="10753" width="3.42578125" style="234" customWidth="1"/>
    <col min="10754" max="10754" width="11.42578125" style="234" customWidth="1"/>
    <col min="10755" max="10755" width="21.42578125" style="234" customWidth="1"/>
    <col min="10756" max="10996" width="11.42578125" style="234" customWidth="1"/>
    <col min="10997" max="10998" width="2.7109375" style="234" customWidth="1"/>
    <col min="10999" max="11002" width="14.5703125" style="234"/>
    <col min="11003" max="11003" width="2.7109375" style="234" customWidth="1"/>
    <col min="11004" max="11004" width="48.28515625" style="234" customWidth="1"/>
    <col min="11005" max="11005" width="34.28515625" style="234" customWidth="1"/>
    <col min="11006" max="11006" width="24.28515625" style="234" customWidth="1"/>
    <col min="11007" max="11007" width="16.5703125" style="234" customWidth="1"/>
    <col min="11008" max="11009" width="3.42578125" style="234" customWidth="1"/>
    <col min="11010" max="11010" width="11.42578125" style="234" customWidth="1"/>
    <col min="11011" max="11011" width="21.42578125" style="234" customWidth="1"/>
    <col min="11012" max="11252" width="11.42578125" style="234" customWidth="1"/>
    <col min="11253" max="11254" width="2.7109375" style="234" customWidth="1"/>
    <col min="11255" max="11258" width="14.5703125" style="234"/>
    <col min="11259" max="11259" width="2.7109375" style="234" customWidth="1"/>
    <col min="11260" max="11260" width="48.28515625" style="234" customWidth="1"/>
    <col min="11261" max="11261" width="34.28515625" style="234" customWidth="1"/>
    <col min="11262" max="11262" width="24.28515625" style="234" customWidth="1"/>
    <col min="11263" max="11263" width="16.5703125" style="234" customWidth="1"/>
    <col min="11264" max="11265" width="3.42578125" style="234" customWidth="1"/>
    <col min="11266" max="11266" width="11.42578125" style="234" customWidth="1"/>
    <col min="11267" max="11267" width="21.42578125" style="234" customWidth="1"/>
    <col min="11268" max="11508" width="11.42578125" style="234" customWidth="1"/>
    <col min="11509" max="11510" width="2.7109375" style="234" customWidth="1"/>
    <col min="11511" max="11514" width="14.5703125" style="234"/>
    <col min="11515" max="11515" width="2.7109375" style="234" customWidth="1"/>
    <col min="11516" max="11516" width="48.28515625" style="234" customWidth="1"/>
    <col min="11517" max="11517" width="34.28515625" style="234" customWidth="1"/>
    <col min="11518" max="11518" width="24.28515625" style="234" customWidth="1"/>
    <col min="11519" max="11519" width="16.5703125" style="234" customWidth="1"/>
    <col min="11520" max="11521" width="3.42578125" style="234" customWidth="1"/>
    <col min="11522" max="11522" width="11.42578125" style="234" customWidth="1"/>
    <col min="11523" max="11523" width="21.42578125" style="234" customWidth="1"/>
    <col min="11524" max="11764" width="11.42578125" style="234" customWidth="1"/>
    <col min="11765" max="11766" width="2.7109375" style="234" customWidth="1"/>
    <col min="11767" max="11770" width="14.5703125" style="234"/>
    <col min="11771" max="11771" width="2.7109375" style="234" customWidth="1"/>
    <col min="11772" max="11772" width="48.28515625" style="234" customWidth="1"/>
    <col min="11773" max="11773" width="34.28515625" style="234" customWidth="1"/>
    <col min="11774" max="11774" width="24.28515625" style="234" customWidth="1"/>
    <col min="11775" max="11775" width="16.5703125" style="234" customWidth="1"/>
    <col min="11776" max="11777" width="3.42578125" style="234" customWidth="1"/>
    <col min="11778" max="11778" width="11.42578125" style="234" customWidth="1"/>
    <col min="11779" max="11779" width="21.42578125" style="234" customWidth="1"/>
    <col min="11780" max="12020" width="11.42578125" style="234" customWidth="1"/>
    <col min="12021" max="12022" width="2.7109375" style="234" customWidth="1"/>
    <col min="12023" max="12026" width="14.5703125" style="234"/>
    <col min="12027" max="12027" width="2.7109375" style="234" customWidth="1"/>
    <col min="12028" max="12028" width="48.28515625" style="234" customWidth="1"/>
    <col min="12029" max="12029" width="34.28515625" style="234" customWidth="1"/>
    <col min="12030" max="12030" width="24.28515625" style="234" customWidth="1"/>
    <col min="12031" max="12031" width="16.5703125" style="234" customWidth="1"/>
    <col min="12032" max="12033" width="3.42578125" style="234" customWidth="1"/>
    <col min="12034" max="12034" width="11.42578125" style="234" customWidth="1"/>
    <col min="12035" max="12035" width="21.42578125" style="234" customWidth="1"/>
    <col min="12036" max="12276" width="11.42578125" style="234" customWidth="1"/>
    <col min="12277" max="12278" width="2.7109375" style="234" customWidth="1"/>
    <col min="12279" max="12282" width="14.5703125" style="234"/>
    <col min="12283" max="12283" width="2.7109375" style="234" customWidth="1"/>
    <col min="12284" max="12284" width="48.28515625" style="234" customWidth="1"/>
    <col min="12285" max="12285" width="34.28515625" style="234" customWidth="1"/>
    <col min="12286" max="12286" width="24.28515625" style="234" customWidth="1"/>
    <col min="12287" max="12287" width="16.5703125" style="234" customWidth="1"/>
    <col min="12288" max="12289" width="3.42578125" style="234" customWidth="1"/>
    <col min="12290" max="12290" width="11.42578125" style="234" customWidth="1"/>
    <col min="12291" max="12291" width="21.42578125" style="234" customWidth="1"/>
    <col min="12292" max="12532" width="11.42578125" style="234" customWidth="1"/>
    <col min="12533" max="12534" width="2.7109375" style="234" customWidth="1"/>
    <col min="12535" max="12538" width="14.5703125" style="234"/>
    <col min="12539" max="12539" width="2.7109375" style="234" customWidth="1"/>
    <col min="12540" max="12540" width="48.28515625" style="234" customWidth="1"/>
    <col min="12541" max="12541" width="34.28515625" style="234" customWidth="1"/>
    <col min="12542" max="12542" width="24.28515625" style="234" customWidth="1"/>
    <col min="12543" max="12543" width="16.5703125" style="234" customWidth="1"/>
    <col min="12544" max="12545" width="3.42578125" style="234" customWidth="1"/>
    <col min="12546" max="12546" width="11.42578125" style="234" customWidth="1"/>
    <col min="12547" max="12547" width="21.42578125" style="234" customWidth="1"/>
    <col min="12548" max="12788" width="11.42578125" style="234" customWidth="1"/>
    <col min="12789" max="12790" width="2.7109375" style="234" customWidth="1"/>
    <col min="12791" max="12794" width="14.5703125" style="234"/>
    <col min="12795" max="12795" width="2.7109375" style="234" customWidth="1"/>
    <col min="12796" max="12796" width="48.28515625" style="234" customWidth="1"/>
    <col min="12797" max="12797" width="34.28515625" style="234" customWidth="1"/>
    <col min="12798" max="12798" width="24.28515625" style="234" customWidth="1"/>
    <col min="12799" max="12799" width="16.5703125" style="234" customWidth="1"/>
    <col min="12800" max="12801" width="3.42578125" style="234" customWidth="1"/>
    <col min="12802" max="12802" width="11.42578125" style="234" customWidth="1"/>
    <col min="12803" max="12803" width="21.42578125" style="234" customWidth="1"/>
    <col min="12804" max="13044" width="11.42578125" style="234" customWidth="1"/>
    <col min="13045" max="13046" width="2.7109375" style="234" customWidth="1"/>
    <col min="13047" max="13050" width="14.5703125" style="234"/>
    <col min="13051" max="13051" width="2.7109375" style="234" customWidth="1"/>
    <col min="13052" max="13052" width="48.28515625" style="234" customWidth="1"/>
    <col min="13053" max="13053" width="34.28515625" style="234" customWidth="1"/>
    <col min="13054" max="13054" width="24.28515625" style="234" customWidth="1"/>
    <col min="13055" max="13055" width="16.5703125" style="234" customWidth="1"/>
    <col min="13056" max="13057" width="3.42578125" style="234" customWidth="1"/>
    <col min="13058" max="13058" width="11.42578125" style="234" customWidth="1"/>
    <col min="13059" max="13059" width="21.42578125" style="234" customWidth="1"/>
    <col min="13060" max="13300" width="11.42578125" style="234" customWidth="1"/>
    <col min="13301" max="13302" width="2.7109375" style="234" customWidth="1"/>
    <col min="13303" max="13306" width="14.5703125" style="234"/>
    <col min="13307" max="13307" width="2.7109375" style="234" customWidth="1"/>
    <col min="13308" max="13308" width="48.28515625" style="234" customWidth="1"/>
    <col min="13309" max="13309" width="34.28515625" style="234" customWidth="1"/>
    <col min="13310" max="13310" width="24.28515625" style="234" customWidth="1"/>
    <col min="13311" max="13311" width="16.5703125" style="234" customWidth="1"/>
    <col min="13312" max="13313" width="3.42578125" style="234" customWidth="1"/>
    <col min="13314" max="13314" width="11.42578125" style="234" customWidth="1"/>
    <col min="13315" max="13315" width="21.42578125" style="234" customWidth="1"/>
    <col min="13316" max="13556" width="11.42578125" style="234" customWidth="1"/>
    <col min="13557" max="13558" width="2.7109375" style="234" customWidth="1"/>
    <col min="13559" max="13562" width="14.5703125" style="234"/>
    <col min="13563" max="13563" width="2.7109375" style="234" customWidth="1"/>
    <col min="13564" max="13564" width="48.28515625" style="234" customWidth="1"/>
    <col min="13565" max="13565" width="34.28515625" style="234" customWidth="1"/>
    <col min="13566" max="13566" width="24.28515625" style="234" customWidth="1"/>
    <col min="13567" max="13567" width="16.5703125" style="234" customWidth="1"/>
    <col min="13568" max="13569" width="3.42578125" style="234" customWidth="1"/>
    <col min="13570" max="13570" width="11.42578125" style="234" customWidth="1"/>
    <col min="13571" max="13571" width="21.42578125" style="234" customWidth="1"/>
    <col min="13572" max="13812" width="11.42578125" style="234" customWidth="1"/>
    <col min="13813" max="13814" width="2.7109375" style="234" customWidth="1"/>
    <col min="13815" max="13818" width="14.5703125" style="234"/>
    <col min="13819" max="13819" width="2.7109375" style="234" customWidth="1"/>
    <col min="13820" max="13820" width="48.28515625" style="234" customWidth="1"/>
    <col min="13821" max="13821" width="34.28515625" style="234" customWidth="1"/>
    <col min="13822" max="13822" width="24.28515625" style="234" customWidth="1"/>
    <col min="13823" max="13823" width="16.5703125" style="234" customWidth="1"/>
    <col min="13824" max="13825" width="3.42578125" style="234" customWidth="1"/>
    <col min="13826" max="13826" width="11.42578125" style="234" customWidth="1"/>
    <col min="13827" max="13827" width="21.42578125" style="234" customWidth="1"/>
    <col min="13828" max="14068" width="11.42578125" style="234" customWidth="1"/>
    <col min="14069" max="14070" width="2.7109375" style="234" customWidth="1"/>
    <col min="14071" max="14074" width="14.5703125" style="234"/>
    <col min="14075" max="14075" width="2.7109375" style="234" customWidth="1"/>
    <col min="14076" max="14076" width="48.28515625" style="234" customWidth="1"/>
    <col min="14077" max="14077" width="34.28515625" style="234" customWidth="1"/>
    <col min="14078" max="14078" width="24.28515625" style="234" customWidth="1"/>
    <col min="14079" max="14079" width="16.5703125" style="234" customWidth="1"/>
    <col min="14080" max="14081" width="3.42578125" style="234" customWidth="1"/>
    <col min="14082" max="14082" width="11.42578125" style="234" customWidth="1"/>
    <col min="14083" max="14083" width="21.42578125" style="234" customWidth="1"/>
    <col min="14084" max="14324" width="11.42578125" style="234" customWidth="1"/>
    <col min="14325" max="14326" width="2.7109375" style="234" customWidth="1"/>
    <col min="14327" max="14330" width="14.5703125" style="234"/>
    <col min="14331" max="14331" width="2.7109375" style="234" customWidth="1"/>
    <col min="14332" max="14332" width="48.28515625" style="234" customWidth="1"/>
    <col min="14333" max="14333" width="34.28515625" style="234" customWidth="1"/>
    <col min="14334" max="14334" width="24.28515625" style="234" customWidth="1"/>
    <col min="14335" max="14335" width="16.5703125" style="234" customWidth="1"/>
    <col min="14336" max="14337" width="3.42578125" style="234" customWidth="1"/>
    <col min="14338" max="14338" width="11.42578125" style="234" customWidth="1"/>
    <col min="14339" max="14339" width="21.42578125" style="234" customWidth="1"/>
    <col min="14340" max="14580" width="11.42578125" style="234" customWidth="1"/>
    <col min="14581" max="14582" width="2.7109375" style="234" customWidth="1"/>
    <col min="14583" max="14586" width="14.5703125" style="234"/>
    <col min="14587" max="14587" width="2.7109375" style="234" customWidth="1"/>
    <col min="14588" max="14588" width="48.28515625" style="234" customWidth="1"/>
    <col min="14589" max="14589" width="34.28515625" style="234" customWidth="1"/>
    <col min="14590" max="14590" width="24.28515625" style="234" customWidth="1"/>
    <col min="14591" max="14591" width="16.5703125" style="234" customWidth="1"/>
    <col min="14592" max="14593" width="3.42578125" style="234" customWidth="1"/>
    <col min="14594" max="14594" width="11.42578125" style="234" customWidth="1"/>
    <col min="14595" max="14595" width="21.42578125" style="234" customWidth="1"/>
    <col min="14596" max="14836" width="11.42578125" style="234" customWidth="1"/>
    <col min="14837" max="14838" width="2.7109375" style="234" customWidth="1"/>
    <col min="14839" max="14842" width="14.5703125" style="234"/>
    <col min="14843" max="14843" width="2.7109375" style="234" customWidth="1"/>
    <col min="14844" max="14844" width="48.28515625" style="234" customWidth="1"/>
    <col min="14845" max="14845" width="34.28515625" style="234" customWidth="1"/>
    <col min="14846" max="14846" width="24.28515625" style="234" customWidth="1"/>
    <col min="14847" max="14847" width="16.5703125" style="234" customWidth="1"/>
    <col min="14848" max="14849" width="3.42578125" style="234" customWidth="1"/>
    <col min="14850" max="14850" width="11.42578125" style="234" customWidth="1"/>
    <col min="14851" max="14851" width="21.42578125" style="234" customWidth="1"/>
    <col min="14852" max="15092" width="11.42578125" style="234" customWidth="1"/>
    <col min="15093" max="15094" width="2.7109375" style="234" customWidth="1"/>
    <col min="15095" max="15098" width="14.5703125" style="234"/>
    <col min="15099" max="15099" width="2.7109375" style="234" customWidth="1"/>
    <col min="15100" max="15100" width="48.28515625" style="234" customWidth="1"/>
    <col min="15101" max="15101" width="34.28515625" style="234" customWidth="1"/>
    <col min="15102" max="15102" width="24.28515625" style="234" customWidth="1"/>
    <col min="15103" max="15103" width="16.5703125" style="234" customWidth="1"/>
    <col min="15104" max="15105" width="3.42578125" style="234" customWidth="1"/>
    <col min="15106" max="15106" width="11.42578125" style="234" customWidth="1"/>
    <col min="15107" max="15107" width="21.42578125" style="234" customWidth="1"/>
    <col min="15108" max="15348" width="11.42578125" style="234" customWidth="1"/>
    <col min="15349" max="15350" width="2.7109375" style="234" customWidth="1"/>
    <col min="15351" max="15354" width="14.5703125" style="234"/>
    <col min="15355" max="15355" width="2.7109375" style="234" customWidth="1"/>
    <col min="15356" max="15356" width="48.28515625" style="234" customWidth="1"/>
    <col min="15357" max="15357" width="34.28515625" style="234" customWidth="1"/>
    <col min="15358" max="15358" width="24.28515625" style="234" customWidth="1"/>
    <col min="15359" max="15359" width="16.5703125" style="234" customWidth="1"/>
    <col min="15360" max="15361" width="3.42578125" style="234" customWidth="1"/>
    <col min="15362" max="15362" width="11.42578125" style="234" customWidth="1"/>
    <col min="15363" max="15363" width="21.42578125" style="234" customWidth="1"/>
    <col min="15364" max="15604" width="11.42578125" style="234" customWidth="1"/>
    <col min="15605" max="15606" width="2.7109375" style="234" customWidth="1"/>
    <col min="15607" max="15610" width="14.5703125" style="234"/>
    <col min="15611" max="15611" width="2.7109375" style="234" customWidth="1"/>
    <col min="15612" max="15612" width="48.28515625" style="234" customWidth="1"/>
    <col min="15613" max="15613" width="34.28515625" style="234" customWidth="1"/>
    <col min="15614" max="15614" width="24.28515625" style="234" customWidth="1"/>
    <col min="15615" max="15615" width="16.5703125" style="234" customWidth="1"/>
    <col min="15616" max="15617" width="3.42578125" style="234" customWidth="1"/>
    <col min="15618" max="15618" width="11.42578125" style="234" customWidth="1"/>
    <col min="15619" max="15619" width="21.42578125" style="234" customWidth="1"/>
    <col min="15620" max="15860" width="11.42578125" style="234" customWidth="1"/>
    <col min="15861" max="15862" width="2.7109375" style="234" customWidth="1"/>
    <col min="15863" max="15866" width="14.5703125" style="234"/>
    <col min="15867" max="15867" width="2.7109375" style="234" customWidth="1"/>
    <col min="15868" max="15868" width="48.28515625" style="234" customWidth="1"/>
    <col min="15869" max="15869" width="34.28515625" style="234" customWidth="1"/>
    <col min="15870" max="15870" width="24.28515625" style="234" customWidth="1"/>
    <col min="15871" max="15871" width="16.5703125" style="234" customWidth="1"/>
    <col min="15872" max="15873" width="3.42578125" style="234" customWidth="1"/>
    <col min="15874" max="15874" width="11.42578125" style="234" customWidth="1"/>
    <col min="15875" max="15875" width="21.42578125" style="234" customWidth="1"/>
    <col min="15876" max="16116" width="11.42578125" style="234" customWidth="1"/>
    <col min="16117" max="16118" width="2.7109375" style="234" customWidth="1"/>
    <col min="16119" max="16122" width="14.5703125" style="234"/>
    <col min="16123" max="16123" width="2.7109375" style="234" customWidth="1"/>
    <col min="16124" max="16124" width="48.28515625" style="234" customWidth="1"/>
    <col min="16125" max="16125" width="34.28515625" style="234" customWidth="1"/>
    <col min="16126" max="16126" width="24.28515625" style="234" customWidth="1"/>
    <col min="16127" max="16127" width="16.5703125" style="234" customWidth="1"/>
    <col min="16128" max="16129" width="3.42578125" style="234" customWidth="1"/>
    <col min="16130" max="16130" width="11.42578125" style="234" customWidth="1"/>
    <col min="16131" max="16131" width="21.42578125" style="234" customWidth="1"/>
    <col min="16132" max="16372" width="11.42578125" style="234" customWidth="1"/>
    <col min="16373" max="16374" width="2.7109375" style="234" customWidth="1"/>
    <col min="16375" max="16384" width="14.5703125" style="234"/>
  </cols>
  <sheetData>
    <row r="1" spans="1:8" ht="15.75" thickBot="1">
      <c r="A1" s="233"/>
    </row>
    <row r="2" spans="1:8" ht="22.5" customHeight="1" thickBot="1">
      <c r="A2" s="235"/>
      <c r="B2" s="356" t="s">
        <v>391</v>
      </c>
      <c r="C2" s="357"/>
      <c r="D2" s="357"/>
      <c r="E2" s="358"/>
      <c r="F2" s="241"/>
    </row>
    <row r="3" spans="1:8">
      <c r="A3" s="235"/>
      <c r="B3" s="359" t="s">
        <v>392</v>
      </c>
      <c r="C3" s="360"/>
      <c r="D3" s="241"/>
      <c r="E3" s="361"/>
      <c r="F3" s="241"/>
    </row>
    <row r="4" spans="1:8" ht="15.75" thickBot="1">
      <c r="A4" s="235"/>
      <c r="B4" s="359"/>
      <c r="C4" s="360"/>
      <c r="D4" s="241"/>
      <c r="E4" s="361"/>
      <c r="F4" s="241"/>
    </row>
    <row r="5" spans="1:8" ht="19.5" thickBot="1">
      <c r="A5" s="235"/>
      <c r="B5" s="362" t="s">
        <v>393</v>
      </c>
      <c r="C5" s="363"/>
      <c r="D5" s="241"/>
      <c r="E5" s="364">
        <f>+'balance 2022 antes de impuesto'!I67</f>
        <v>609176380.9523809</v>
      </c>
      <c r="F5" s="241"/>
    </row>
    <row r="6" spans="1:8" ht="16.5" thickBot="1">
      <c r="A6" s="235"/>
      <c r="B6" s="365" t="s">
        <v>394</v>
      </c>
      <c r="C6" s="366"/>
      <c r="D6" s="367"/>
      <c r="E6" s="364">
        <f>SUM(D7:D39)</f>
        <v>385788889.04761904</v>
      </c>
      <c r="F6" s="241"/>
      <c r="H6" s="240"/>
    </row>
    <row r="7" spans="1:8">
      <c r="A7" s="235"/>
      <c r="B7" s="368" t="s">
        <v>395</v>
      </c>
      <c r="C7" s="369" t="s">
        <v>396</v>
      </c>
      <c r="D7" s="370">
        <f>+'activo no corriente 2022 '!E24+'activo no corriente 2022 '!E66+'activo no corriente 2022 '!E108+'activo no corriente 2022 '!E135</f>
        <v>52125000</v>
      </c>
      <c r="E7" s="371"/>
      <c r="F7" s="241"/>
      <c r="H7" s="240"/>
    </row>
    <row r="8" spans="1:8">
      <c r="A8" s="235"/>
      <c r="B8" s="372" t="s">
        <v>397</v>
      </c>
      <c r="C8" s="369" t="s">
        <v>396</v>
      </c>
      <c r="D8" s="373"/>
      <c r="E8" s="371"/>
      <c r="F8" s="241"/>
    </row>
    <row r="9" spans="1:8">
      <c r="A9" s="235"/>
      <c r="B9" s="372" t="s">
        <v>539</v>
      </c>
      <c r="C9" s="369" t="s">
        <v>396</v>
      </c>
      <c r="D9" s="373">
        <v>3000000</v>
      </c>
      <c r="E9" s="371"/>
      <c r="F9" s="241"/>
    </row>
    <row r="10" spans="1:8">
      <c r="A10" s="235"/>
      <c r="B10" s="372" t="s">
        <v>398</v>
      </c>
      <c r="C10" s="369" t="s">
        <v>396</v>
      </c>
      <c r="D10" s="374">
        <f>+'balance 2022 antes de impuesto'!C42*6%</f>
        <v>6000000</v>
      </c>
      <c r="E10" s="371"/>
      <c r="F10" s="241"/>
    </row>
    <row r="11" spans="1:8">
      <c r="A11" s="235"/>
      <c r="B11" s="375" t="s">
        <v>536</v>
      </c>
      <c r="C11" s="369" t="s">
        <v>537</v>
      </c>
      <c r="D11" s="373">
        <f>+'costo existencias'!F8</f>
        <v>300000000</v>
      </c>
      <c r="E11" s="371"/>
      <c r="F11" s="241"/>
    </row>
    <row r="12" spans="1:8">
      <c r="A12" s="235"/>
      <c r="B12" s="375" t="s">
        <v>530</v>
      </c>
      <c r="C12" s="369" t="s">
        <v>528</v>
      </c>
      <c r="D12" s="373">
        <f>+'balance 2022 antes de impuesto'!I49*1.111</f>
        <v>3966270</v>
      </c>
      <c r="E12" s="371"/>
      <c r="F12" s="241"/>
    </row>
    <row r="13" spans="1:8">
      <c r="A13" s="235"/>
      <c r="B13" s="375"/>
      <c r="C13" s="369" t="s">
        <v>400</v>
      </c>
      <c r="D13" s="373"/>
      <c r="E13" s="371"/>
      <c r="F13" s="241"/>
    </row>
    <row r="14" spans="1:8">
      <c r="A14" s="235"/>
      <c r="B14" s="375" t="s">
        <v>401</v>
      </c>
      <c r="C14" s="369" t="s">
        <v>314</v>
      </c>
      <c r="D14" s="373"/>
      <c r="E14" s="371"/>
      <c r="F14" s="241"/>
    </row>
    <row r="15" spans="1:8">
      <c r="A15" s="235"/>
      <c r="B15" s="375" t="s">
        <v>402</v>
      </c>
      <c r="C15" s="369" t="s">
        <v>314</v>
      </c>
      <c r="D15" s="373"/>
      <c r="E15" s="371"/>
      <c r="F15" s="241"/>
    </row>
    <row r="16" spans="1:8">
      <c r="A16" s="235"/>
      <c r="B16" s="375" t="s">
        <v>403</v>
      </c>
      <c r="C16" s="369" t="s">
        <v>314</v>
      </c>
      <c r="D16" s="373"/>
      <c r="E16" s="371"/>
      <c r="F16" s="241"/>
    </row>
    <row r="17" spans="1:6">
      <c r="A17" s="235"/>
      <c r="B17" s="375" t="s">
        <v>404</v>
      </c>
      <c r="C17" s="369" t="s">
        <v>314</v>
      </c>
      <c r="D17" s="373">
        <f>+'balance 2022 antes de impuesto'!I53*1</f>
        <v>2800000</v>
      </c>
      <c r="E17" s="371"/>
      <c r="F17" s="241"/>
    </row>
    <row r="18" spans="1:6">
      <c r="A18" s="235"/>
      <c r="B18" s="375" t="s">
        <v>405</v>
      </c>
      <c r="C18" s="369" t="s">
        <v>314</v>
      </c>
      <c r="D18" s="373"/>
      <c r="E18" s="371"/>
      <c r="F18" s="241"/>
    </row>
    <row r="19" spans="1:6">
      <c r="A19" s="235"/>
      <c r="B19" s="375" t="s">
        <v>406</v>
      </c>
      <c r="C19" s="369" t="s">
        <v>407</v>
      </c>
      <c r="D19" s="373">
        <f>+'balance 2022 antes de impuesto'!I60</f>
        <v>6880952.3809523806</v>
      </c>
      <c r="E19" s="371"/>
      <c r="F19" s="241"/>
    </row>
    <row r="20" spans="1:6">
      <c r="A20" s="235"/>
      <c r="B20" s="375" t="s">
        <v>408</v>
      </c>
      <c r="C20" s="369" t="s">
        <v>407</v>
      </c>
      <c r="D20" s="373"/>
      <c r="E20" s="371"/>
      <c r="F20" s="241"/>
    </row>
    <row r="21" spans="1:6">
      <c r="A21" s="235"/>
      <c r="B21" s="375" t="s">
        <v>409</v>
      </c>
      <c r="C21" s="369" t="s">
        <v>410</v>
      </c>
      <c r="D21" s="373">
        <f>+'balance 2022 antes de impuesto'!I54</f>
        <v>9000000</v>
      </c>
      <c r="E21" s="371"/>
      <c r="F21" s="241"/>
    </row>
    <row r="22" spans="1:6">
      <c r="A22" s="235"/>
      <c r="B22" s="375" t="s">
        <v>540</v>
      </c>
      <c r="C22" s="369" t="s">
        <v>541</v>
      </c>
      <c r="D22" s="373">
        <f>+'balance 2022 antes de impuesto'!I48</f>
        <v>2016666.6666666665</v>
      </c>
      <c r="E22" s="371"/>
      <c r="F22" s="241"/>
    </row>
    <row r="23" spans="1:6">
      <c r="A23" s="235"/>
      <c r="B23" s="375" t="s">
        <v>411</v>
      </c>
      <c r="C23" s="369" t="s">
        <v>412</v>
      </c>
      <c r="D23" s="373"/>
      <c r="E23" s="371"/>
      <c r="F23" s="241"/>
    </row>
    <row r="24" spans="1:6">
      <c r="A24" s="235"/>
      <c r="B24" s="375" t="s">
        <v>413</v>
      </c>
      <c r="C24" s="369" t="s">
        <v>414</v>
      </c>
      <c r="D24" s="373"/>
      <c r="E24" s="371"/>
      <c r="F24" s="241"/>
    </row>
    <row r="25" spans="1:6">
      <c r="A25" s="235"/>
      <c r="B25" s="375" t="s">
        <v>415</v>
      </c>
      <c r="C25" s="369" t="s">
        <v>416</v>
      </c>
      <c r="D25" s="373"/>
      <c r="E25" s="371"/>
      <c r="F25" s="241"/>
    </row>
    <row r="26" spans="1:6">
      <c r="A26" s="235"/>
      <c r="B26" s="375" t="s">
        <v>417</v>
      </c>
      <c r="C26" s="369" t="s">
        <v>416</v>
      </c>
      <c r="D26" s="373"/>
      <c r="E26" s="371"/>
      <c r="F26" s="241"/>
    </row>
    <row r="27" spans="1:6">
      <c r="A27" s="235"/>
      <c r="B27" s="375" t="s">
        <v>527</v>
      </c>
      <c r="C27" s="369" t="s">
        <v>416</v>
      </c>
      <c r="D27" s="374"/>
      <c r="E27" s="371"/>
      <c r="F27" s="241"/>
    </row>
    <row r="28" spans="1:6">
      <c r="A28" s="235"/>
      <c r="B28" s="375" t="s">
        <v>529</v>
      </c>
      <c r="C28" s="369" t="s">
        <v>416</v>
      </c>
      <c r="D28" s="374"/>
      <c r="E28" s="371"/>
      <c r="F28" s="241"/>
    </row>
    <row r="29" spans="1:6">
      <c r="A29" s="235"/>
      <c r="B29" s="375" t="s">
        <v>418</v>
      </c>
      <c r="C29" s="369" t="s">
        <v>416</v>
      </c>
      <c r="D29" s="373"/>
      <c r="E29" s="371"/>
      <c r="F29" s="241"/>
    </row>
    <row r="30" spans="1:6">
      <c r="A30" s="235"/>
      <c r="B30" s="375"/>
      <c r="C30" s="369" t="s">
        <v>416</v>
      </c>
      <c r="D30" s="373"/>
      <c r="E30" s="371"/>
      <c r="F30" s="241"/>
    </row>
    <row r="31" spans="1:6">
      <c r="A31" s="235"/>
      <c r="B31" s="375"/>
      <c r="C31" s="369" t="s">
        <v>416</v>
      </c>
      <c r="D31" s="373"/>
      <c r="E31" s="371"/>
      <c r="F31" s="241"/>
    </row>
    <row r="32" spans="1:6">
      <c r="A32" s="235"/>
      <c r="B32" s="375" t="s">
        <v>419</v>
      </c>
      <c r="C32" s="369" t="s">
        <v>416</v>
      </c>
      <c r="D32" s="373"/>
      <c r="E32" s="371"/>
      <c r="F32" s="241"/>
    </row>
    <row r="33" spans="1:6">
      <c r="A33" s="235"/>
      <c r="B33" s="375"/>
      <c r="C33" s="369" t="s">
        <v>416</v>
      </c>
      <c r="D33" s="373"/>
      <c r="E33" s="371"/>
      <c r="F33" s="241"/>
    </row>
    <row r="34" spans="1:6">
      <c r="A34" s="235"/>
      <c r="B34" s="375"/>
      <c r="C34" s="369" t="s">
        <v>416</v>
      </c>
      <c r="D34" s="373"/>
      <c r="E34" s="371"/>
      <c r="F34" s="241"/>
    </row>
    <row r="35" spans="1:6">
      <c r="A35" s="235"/>
      <c r="B35" s="375"/>
      <c r="C35" s="369" t="s">
        <v>420</v>
      </c>
      <c r="D35" s="373"/>
      <c r="E35" s="371"/>
      <c r="F35" s="241"/>
    </row>
    <row r="36" spans="1:6">
      <c r="A36" s="235"/>
      <c r="B36" s="372"/>
      <c r="C36" s="369" t="s">
        <v>421</v>
      </c>
      <c r="D36" s="373"/>
      <c r="E36" s="371"/>
      <c r="F36" s="241"/>
    </row>
    <row r="37" spans="1:6">
      <c r="A37" s="235"/>
      <c r="B37" s="372"/>
      <c r="C37" s="369" t="s">
        <v>422</v>
      </c>
      <c r="D37" s="373"/>
      <c r="E37" s="371"/>
      <c r="F37" s="241"/>
    </row>
    <row r="38" spans="1:6">
      <c r="A38" s="235"/>
      <c r="B38" s="372"/>
      <c r="C38" s="369" t="s">
        <v>423</v>
      </c>
      <c r="D38" s="373"/>
      <c r="E38" s="371"/>
      <c r="F38" s="241"/>
    </row>
    <row r="39" spans="1:6" ht="15.75" thickBot="1">
      <c r="A39" s="235"/>
      <c r="B39" s="372"/>
      <c r="C39" s="376" t="s">
        <v>424</v>
      </c>
      <c r="D39" s="373"/>
      <c r="E39" s="371"/>
      <c r="F39" s="241"/>
    </row>
    <row r="40" spans="1:6" ht="16.5" thickBot="1">
      <c r="A40" s="235"/>
      <c r="B40" s="365" t="s">
        <v>425</v>
      </c>
      <c r="C40" s="366"/>
      <c r="D40" s="377"/>
      <c r="E40" s="364">
        <f>-SUM(D41:D63)</f>
        <v>-379032039.23076922</v>
      </c>
      <c r="F40" s="241"/>
    </row>
    <row r="41" spans="1:6">
      <c r="A41" s="235"/>
      <c r="B41" s="547" t="s">
        <v>426</v>
      </c>
      <c r="C41" s="548" t="s">
        <v>427</v>
      </c>
      <c r="D41" s="378">
        <v>0</v>
      </c>
      <c r="E41" s="371"/>
      <c r="F41" s="241"/>
    </row>
    <row r="42" spans="1:6">
      <c r="A42" s="235"/>
      <c r="B42" s="379" t="s">
        <v>428</v>
      </c>
      <c r="C42" s="380" t="s">
        <v>427</v>
      </c>
      <c r="D42" s="381">
        <f>+'[13]ACTIVO FIJO'!L20</f>
        <v>0</v>
      </c>
      <c r="E42" s="371"/>
      <c r="F42" s="241"/>
    </row>
    <row r="43" spans="1:6">
      <c r="A43" s="235"/>
      <c r="B43" s="379" t="s">
        <v>429</v>
      </c>
      <c r="C43" s="380" t="s">
        <v>427</v>
      </c>
      <c r="D43" s="381">
        <f>+'R14 AT2023'!S9</f>
        <v>12960000.000000015</v>
      </c>
      <c r="E43" s="371"/>
      <c r="F43" s="241"/>
    </row>
    <row r="44" spans="1:6">
      <c r="A44" s="235"/>
      <c r="B44" s="379" t="s">
        <v>538</v>
      </c>
      <c r="C44" s="380" t="s">
        <v>310</v>
      </c>
      <c r="D44" s="381">
        <f>+'costo existencias'!F12</f>
        <v>330000000</v>
      </c>
      <c r="E44" s="371"/>
      <c r="F44" s="241"/>
    </row>
    <row r="45" spans="1:6">
      <c r="A45" s="235"/>
      <c r="B45" s="379"/>
      <c r="C45" s="380" t="s">
        <v>430</v>
      </c>
      <c r="D45" s="381"/>
      <c r="E45" s="382"/>
      <c r="F45" s="241"/>
    </row>
    <row r="46" spans="1:6">
      <c r="A46" s="235"/>
      <c r="B46" s="383" t="s">
        <v>431</v>
      </c>
      <c r="C46" s="380" t="s">
        <v>432</v>
      </c>
      <c r="D46" s="381"/>
      <c r="E46" s="382"/>
      <c r="F46" s="241"/>
    </row>
    <row r="47" spans="1:6">
      <c r="A47" s="235"/>
      <c r="B47" s="379"/>
      <c r="C47" s="380" t="s">
        <v>433</v>
      </c>
      <c r="D47" s="381"/>
      <c r="E47" s="382"/>
      <c r="F47" s="241"/>
    </row>
    <row r="48" spans="1:6">
      <c r="A48" s="235"/>
      <c r="B48" s="549" t="s">
        <v>434</v>
      </c>
      <c r="C48" s="380" t="s">
        <v>435</v>
      </c>
      <c r="D48" s="384">
        <f>+'activo no corriente 2022 '!I42+'activo no corriente 2022 '!I84+'activo no corriente 2022 '!I153</f>
        <v>32105769.230769232</v>
      </c>
      <c r="E48" s="382"/>
      <c r="F48" s="241"/>
    </row>
    <row r="49" spans="1:6">
      <c r="A49" s="235"/>
      <c r="B49" s="549"/>
      <c r="C49" s="380" t="s">
        <v>436</v>
      </c>
      <c r="D49" s="381"/>
      <c r="E49" s="382"/>
      <c r="F49" s="241"/>
    </row>
    <row r="50" spans="1:6">
      <c r="A50" s="235"/>
      <c r="B50" s="549"/>
      <c r="C50" s="380" t="s">
        <v>437</v>
      </c>
      <c r="D50" s="381"/>
      <c r="E50" s="382"/>
      <c r="F50" s="241"/>
    </row>
    <row r="51" spans="1:6">
      <c r="A51" s="235"/>
      <c r="B51" s="550" t="s">
        <v>418</v>
      </c>
      <c r="C51" s="380" t="s">
        <v>438</v>
      </c>
      <c r="D51" s="384">
        <f>+D12</f>
        <v>3966270</v>
      </c>
      <c r="E51" s="382"/>
      <c r="F51" s="241"/>
    </row>
    <row r="52" spans="1:6">
      <c r="A52" s="235"/>
      <c r="B52" s="550" t="s">
        <v>399</v>
      </c>
      <c r="C52" s="380" t="s">
        <v>438</v>
      </c>
      <c r="D52" s="384"/>
      <c r="E52" s="382"/>
      <c r="F52" s="241"/>
    </row>
    <row r="53" spans="1:6">
      <c r="A53" s="235"/>
      <c r="B53" s="549"/>
      <c r="C53" s="380" t="s">
        <v>438</v>
      </c>
      <c r="D53" s="384">
        <f t="shared" ref="D53:D56" si="0">+D31</f>
        <v>0</v>
      </c>
      <c r="E53" s="382"/>
      <c r="F53" s="241"/>
    </row>
    <row r="54" spans="1:6">
      <c r="A54" s="235"/>
      <c r="B54" s="550" t="s">
        <v>419</v>
      </c>
      <c r="C54" s="380" t="s">
        <v>439</v>
      </c>
      <c r="D54" s="384">
        <f t="shared" si="0"/>
        <v>0</v>
      </c>
      <c r="E54" s="382"/>
      <c r="F54" s="241"/>
    </row>
    <row r="55" spans="1:6">
      <c r="A55" s="235"/>
      <c r="B55" s="549"/>
      <c r="C55" s="380" t="s">
        <v>439</v>
      </c>
      <c r="D55" s="384">
        <f t="shared" si="0"/>
        <v>0</v>
      </c>
      <c r="E55" s="382"/>
      <c r="F55" s="241"/>
    </row>
    <row r="56" spans="1:6">
      <c r="A56" s="235"/>
      <c r="B56" s="549"/>
      <c r="C56" s="380" t="s">
        <v>439</v>
      </c>
      <c r="D56" s="384">
        <f t="shared" si="0"/>
        <v>0</v>
      </c>
      <c r="E56" s="382"/>
      <c r="F56" s="241"/>
    </row>
    <row r="57" spans="1:6">
      <c r="A57" s="235"/>
      <c r="B57" s="379" t="s">
        <v>440</v>
      </c>
      <c r="C57" s="380" t="s">
        <v>441</v>
      </c>
      <c r="D57" s="381"/>
      <c r="E57" s="382"/>
      <c r="F57" s="241"/>
    </row>
    <row r="58" spans="1:6">
      <c r="A58" s="235"/>
      <c r="B58" s="379"/>
      <c r="C58" s="380" t="s">
        <v>442</v>
      </c>
      <c r="D58" s="381"/>
      <c r="E58" s="382"/>
      <c r="F58" s="241"/>
    </row>
    <row r="59" spans="1:6">
      <c r="A59" s="235"/>
      <c r="B59" s="383" t="s">
        <v>443</v>
      </c>
      <c r="C59" s="380" t="s">
        <v>444</v>
      </c>
      <c r="D59" s="381"/>
      <c r="E59" s="382"/>
      <c r="F59" s="241"/>
    </row>
    <row r="60" spans="1:6">
      <c r="A60" s="235"/>
      <c r="B60" s="379"/>
      <c r="C60" s="380" t="s">
        <v>445</v>
      </c>
      <c r="D60" s="381"/>
      <c r="E60" s="382"/>
      <c r="F60" s="241"/>
    </row>
    <row r="61" spans="1:6">
      <c r="A61" s="235"/>
      <c r="B61" s="379"/>
      <c r="C61" s="380" t="s">
        <v>446</v>
      </c>
      <c r="D61" s="381"/>
      <c r="E61" s="382"/>
      <c r="F61" s="241"/>
    </row>
    <row r="62" spans="1:6">
      <c r="A62" s="235"/>
      <c r="B62" s="385" t="s">
        <v>447</v>
      </c>
      <c r="C62" s="380" t="s">
        <v>448</v>
      </c>
      <c r="D62" s="381"/>
      <c r="E62" s="382"/>
      <c r="F62" s="241"/>
    </row>
    <row r="63" spans="1:6" ht="15.75" thickBot="1">
      <c r="A63" s="235"/>
      <c r="B63" s="386" t="s">
        <v>449</v>
      </c>
      <c r="C63" s="387" t="s">
        <v>450</v>
      </c>
      <c r="D63" s="381"/>
      <c r="E63" s="382"/>
      <c r="F63" s="241"/>
    </row>
    <row r="64" spans="1:6" ht="15.75" thickBot="1">
      <c r="A64" s="235"/>
      <c r="B64" s="388" t="s">
        <v>108</v>
      </c>
      <c r="C64" s="389"/>
      <c r="D64" s="390"/>
      <c r="E64" s="391">
        <f>+E5+E6+E40</f>
        <v>615933230.76923084</v>
      </c>
      <c r="F64" s="241"/>
    </row>
    <row r="65" spans="1:6" ht="16.5" thickBot="1">
      <c r="A65" s="235"/>
      <c r="B65" s="251" t="s">
        <v>326</v>
      </c>
      <c r="C65" s="252"/>
      <c r="D65" s="241"/>
      <c r="E65" s="391">
        <f>-D71</f>
        <v>-253566615.38461542</v>
      </c>
      <c r="F65" s="241"/>
    </row>
    <row r="66" spans="1:6" ht="15.75">
      <c r="A66" s="235"/>
      <c r="B66" s="253" t="s">
        <v>327</v>
      </c>
      <c r="C66" s="254"/>
      <c r="D66" s="241"/>
      <c r="E66" s="371"/>
      <c r="F66" s="241"/>
    </row>
    <row r="67" spans="1:6">
      <c r="A67" s="235"/>
      <c r="B67" s="255" t="s">
        <v>328</v>
      </c>
      <c r="C67" s="256"/>
      <c r="D67" s="257">
        <f>+E64</f>
        <v>615933230.76923084</v>
      </c>
      <c r="E67" s="371"/>
      <c r="F67" s="241"/>
    </row>
    <row r="68" spans="1:6">
      <c r="A68" s="235"/>
      <c r="B68" s="258" t="s">
        <v>443</v>
      </c>
      <c r="C68" s="259"/>
      <c r="D68" s="260">
        <f>+'balance 2022 antes de impuesto'!C42+'RLI AT 2023'!D10</f>
        <v>106000000</v>
      </c>
      <c r="E68" s="371"/>
      <c r="F68" s="241"/>
    </row>
    <row r="69" spans="1:6">
      <c r="A69" s="235"/>
      <c r="B69" s="258" t="s">
        <v>329</v>
      </c>
      <c r="C69" s="259"/>
      <c r="D69" s="260">
        <f>+D17</f>
        <v>2800000</v>
      </c>
      <c r="E69" s="371"/>
      <c r="F69" s="241"/>
    </row>
    <row r="70" spans="1:6">
      <c r="A70" s="235"/>
      <c r="B70" s="255" t="s">
        <v>330</v>
      </c>
      <c r="C70" s="261"/>
      <c r="D70" s="257">
        <f>+D67-D68-D69</f>
        <v>507133230.76923084</v>
      </c>
      <c r="E70" s="371"/>
      <c r="F70" s="241"/>
    </row>
    <row r="71" spans="1:6" ht="15.75" thickBot="1">
      <c r="A71" s="235"/>
      <c r="B71" s="262">
        <v>0.5</v>
      </c>
      <c r="C71" s="263"/>
      <c r="D71" s="264">
        <f>+D70/2</f>
        <v>253566615.38461542</v>
      </c>
      <c r="E71" s="371"/>
      <c r="F71" s="241"/>
    </row>
    <row r="72" spans="1:6" ht="15.75" thickBot="1">
      <c r="A72" s="235"/>
      <c r="B72" s="388" t="s">
        <v>108</v>
      </c>
      <c r="C72" s="392"/>
      <c r="D72" s="390"/>
      <c r="E72" s="391">
        <f>+E64+E65</f>
        <v>362366615.38461542</v>
      </c>
      <c r="F72" s="241"/>
    </row>
    <row r="73" spans="1:6" ht="16.5" thickBot="1">
      <c r="A73" s="235"/>
      <c r="B73" s="393" t="s">
        <v>451</v>
      </c>
      <c r="C73" s="394"/>
      <c r="D73" s="395"/>
      <c r="E73" s="396">
        <f>+D75</f>
        <v>0</v>
      </c>
      <c r="F73" s="241"/>
    </row>
    <row r="74" spans="1:6" ht="15.75">
      <c r="A74" s="235"/>
      <c r="B74" s="397" t="s">
        <v>452</v>
      </c>
      <c r="C74" s="398"/>
      <c r="D74" s="241"/>
      <c r="E74" s="399"/>
      <c r="F74" s="241"/>
    </row>
    <row r="75" spans="1:6">
      <c r="A75" s="235"/>
      <c r="B75" s="255" t="s">
        <v>453</v>
      </c>
      <c r="C75" s="256"/>
      <c r="D75" s="260"/>
      <c r="E75" s="399"/>
      <c r="F75" s="241"/>
    </row>
    <row r="76" spans="1:6">
      <c r="A76" s="235"/>
      <c r="B76" s="400" t="s">
        <v>454</v>
      </c>
      <c r="C76" s="401"/>
      <c r="D76" s="257">
        <f>+E72</f>
        <v>362366615.38461542</v>
      </c>
      <c r="E76" s="399"/>
      <c r="F76" s="241"/>
    </row>
    <row r="77" spans="1:6">
      <c r="A77" s="235"/>
      <c r="B77" s="255" t="s">
        <v>455</v>
      </c>
      <c r="C77" s="402"/>
      <c r="D77" s="260"/>
      <c r="E77" s="399"/>
      <c r="F77" s="241"/>
    </row>
    <row r="78" spans="1:6" ht="16.5" thickBot="1">
      <c r="A78" s="235"/>
      <c r="B78" s="397"/>
      <c r="C78" s="398"/>
      <c r="D78" s="241"/>
      <c r="E78" s="399"/>
      <c r="F78" s="241"/>
    </row>
    <row r="79" spans="1:6" ht="15.75" thickBot="1">
      <c r="A79" s="235"/>
      <c r="B79" s="403" t="s">
        <v>108</v>
      </c>
      <c r="C79" s="404"/>
      <c r="D79" s="241"/>
      <c r="E79" s="391">
        <f>+E72-E73</f>
        <v>362366615.38461542</v>
      </c>
      <c r="F79" s="241"/>
    </row>
    <row r="80" spans="1:6" ht="16.5" thickBot="1">
      <c r="A80" s="235"/>
      <c r="B80" s="393" t="s">
        <v>456</v>
      </c>
      <c r="C80" s="394"/>
      <c r="D80" s="241"/>
      <c r="E80" s="391">
        <f>+C90</f>
        <v>0</v>
      </c>
      <c r="F80" s="241"/>
    </row>
    <row r="81" spans="1:8" ht="16.5" hidden="1" thickBot="1">
      <c r="A81" s="235"/>
      <c r="B81" s="393"/>
      <c r="C81" s="394"/>
      <c r="D81" s="241"/>
      <c r="E81" s="382"/>
      <c r="F81" s="241"/>
    </row>
    <row r="82" spans="1:8" ht="16.5" hidden="1" thickBot="1">
      <c r="A82" s="235"/>
      <c r="B82" s="393" t="s">
        <v>457</v>
      </c>
      <c r="C82" s="405"/>
      <c r="D82" s="406"/>
      <c r="E82" s="382"/>
      <c r="F82" s="241"/>
    </row>
    <row r="83" spans="1:8" ht="15.75" hidden="1" thickBot="1">
      <c r="A83" s="235"/>
      <c r="B83" s="407" t="s">
        <v>458</v>
      </c>
      <c r="C83" s="408"/>
      <c r="D83" s="406"/>
      <c r="E83" s="382"/>
      <c r="F83" s="241"/>
    </row>
    <row r="84" spans="1:8" ht="15.75" hidden="1" thickBot="1">
      <c r="A84" s="235"/>
      <c r="B84" s="409" t="s">
        <v>459</v>
      </c>
      <c r="C84" s="408">
        <f>+C83*0.33333</f>
        <v>0</v>
      </c>
      <c r="D84" s="406"/>
      <c r="E84" s="382"/>
      <c r="F84" s="241"/>
    </row>
    <row r="85" spans="1:8" ht="15.75" hidden="1" thickBot="1">
      <c r="A85" s="235"/>
      <c r="B85" s="409" t="s">
        <v>460</v>
      </c>
      <c r="C85" s="408">
        <f>+C83+C84</f>
        <v>0</v>
      </c>
      <c r="D85" s="406"/>
      <c r="E85" s="382"/>
      <c r="F85" s="241"/>
    </row>
    <row r="86" spans="1:8" ht="15.75" hidden="1" thickBot="1">
      <c r="A86" s="235"/>
      <c r="B86" s="409" t="s">
        <v>461</v>
      </c>
      <c r="C86" s="408"/>
      <c r="D86" s="406"/>
      <c r="E86" s="382"/>
      <c r="F86" s="241"/>
    </row>
    <row r="87" spans="1:8" ht="15.75" hidden="1" thickBot="1">
      <c r="A87" s="235"/>
      <c r="B87" s="409" t="s">
        <v>462</v>
      </c>
      <c r="C87" s="408">
        <f>-C82*90%</f>
        <v>0</v>
      </c>
      <c r="D87" s="406"/>
      <c r="E87" s="382"/>
      <c r="F87" s="241"/>
    </row>
    <row r="88" spans="1:8" ht="15.75" hidden="1" thickBot="1">
      <c r="A88" s="235"/>
      <c r="B88" s="409" t="s">
        <v>463</v>
      </c>
      <c r="C88" s="410">
        <f>+C82+C87</f>
        <v>0</v>
      </c>
      <c r="D88" s="233"/>
      <c r="E88" s="382"/>
      <c r="F88" s="241"/>
    </row>
    <row r="89" spans="1:8" ht="18" hidden="1" customHeight="1">
      <c r="A89" s="235"/>
      <c r="B89" s="411" t="s">
        <v>464</v>
      </c>
      <c r="C89" s="233"/>
      <c r="D89" s="233"/>
      <c r="E89" s="382"/>
      <c r="F89" s="241"/>
    </row>
    <row r="90" spans="1:8" ht="18" hidden="1" customHeight="1" thickBot="1">
      <c r="A90" s="235"/>
      <c r="B90" s="407" t="s">
        <v>465</v>
      </c>
      <c r="C90" s="412">
        <f>-C82+C88</f>
        <v>0</v>
      </c>
      <c r="D90" s="233"/>
      <c r="E90" s="382"/>
      <c r="F90" s="241"/>
    </row>
    <row r="91" spans="1:8" ht="18" hidden="1" customHeight="1" thickBot="1">
      <c r="A91" s="235"/>
      <c r="B91" s="235" t="s">
        <v>466</v>
      </c>
      <c r="C91" s="364">
        <f>+C90*25%</f>
        <v>0</v>
      </c>
      <c r="D91" s="233"/>
      <c r="E91" s="382"/>
      <c r="F91" s="241"/>
    </row>
    <row r="92" spans="1:8" ht="15.75" hidden="1" thickBot="1">
      <c r="A92" s="235"/>
      <c r="B92" s="235" t="s">
        <v>467</v>
      </c>
      <c r="C92" s="364">
        <f>+C84-C91</f>
        <v>0</v>
      </c>
      <c r="D92" s="233"/>
      <c r="E92" s="382"/>
      <c r="F92" s="241"/>
    </row>
    <row r="93" spans="1:8" ht="16.5" thickBot="1">
      <c r="A93" s="235"/>
      <c r="B93" s="253" t="s">
        <v>468</v>
      </c>
      <c r="C93" s="254"/>
      <c r="D93" s="241"/>
      <c r="E93" s="391">
        <f>+E79-E80</f>
        <v>362366615.38461542</v>
      </c>
      <c r="F93" s="241"/>
    </row>
    <row r="94" spans="1:8" ht="15.75" thickBot="1">
      <c r="A94" s="235"/>
      <c r="B94" s="411" t="s">
        <v>325</v>
      </c>
      <c r="C94" s="413"/>
      <c r="D94" s="414">
        <v>0.27</v>
      </c>
      <c r="E94" s="391">
        <f>+E93*D94</f>
        <v>97838986.153846174</v>
      </c>
      <c r="F94" s="241"/>
    </row>
    <row r="95" spans="1:8">
      <c r="A95" s="235"/>
      <c r="B95" s="411"/>
      <c r="C95" s="413"/>
      <c r="D95" s="414"/>
      <c r="E95" s="399"/>
      <c r="F95" s="241"/>
      <c r="H95" s="240"/>
    </row>
    <row r="96" spans="1:8" ht="15.75" thickBot="1">
      <c r="A96" s="235"/>
      <c r="B96" s="359" t="s">
        <v>469</v>
      </c>
      <c r="C96" s="360"/>
      <c r="D96" s="241"/>
      <c r="E96" s="382"/>
      <c r="F96" s="241"/>
    </row>
    <row r="97" spans="1:6" ht="15.75" thickBot="1">
      <c r="A97" s="235"/>
      <c r="B97" s="235" t="s">
        <v>470</v>
      </c>
      <c r="C97" s="235"/>
      <c r="D97" s="391">
        <f>+D51</f>
        <v>3966270</v>
      </c>
      <c r="E97" s="382"/>
      <c r="F97" s="241"/>
    </row>
    <row r="98" spans="1:6" ht="16.5" thickBot="1">
      <c r="A98" s="235"/>
      <c r="B98" s="397" t="s">
        <v>471</v>
      </c>
      <c r="C98" s="397"/>
      <c r="D98" s="391">
        <f>+D97</f>
        <v>3966270</v>
      </c>
      <c r="E98" s="382"/>
      <c r="F98" s="241"/>
    </row>
    <row r="99" spans="1:6" ht="15.75">
      <c r="A99" s="235"/>
      <c r="B99" s="397" t="s">
        <v>472</v>
      </c>
      <c r="C99" s="415">
        <v>0.4</v>
      </c>
      <c r="D99" s="416">
        <f>+D98*C99</f>
        <v>1586508</v>
      </c>
      <c r="E99" s="382"/>
      <c r="F99" s="241"/>
    </row>
    <row r="100" spans="1:6" ht="15.75" thickBot="1">
      <c r="A100" s="235"/>
      <c r="B100" s="417"/>
      <c r="C100" s="418"/>
      <c r="D100" s="419"/>
      <c r="E100" s="420"/>
      <c r="F100" s="241"/>
    </row>
    <row r="101" spans="1:6" ht="15.75" thickBot="1"/>
    <row r="102" spans="1:6" ht="19.5" thickBot="1">
      <c r="B102" s="356" t="s">
        <v>391</v>
      </c>
      <c r="C102" s="357"/>
      <c r="D102" s="357"/>
      <c r="E102" s="358"/>
    </row>
    <row r="103" spans="1:6">
      <c r="B103" s="359" t="s">
        <v>392</v>
      </c>
      <c r="C103" s="360"/>
      <c r="D103" s="241"/>
      <c r="E103" s="361"/>
    </row>
    <row r="104" spans="1:6" ht="15.75" thickBot="1">
      <c r="B104" s="359"/>
      <c r="C104" s="360"/>
      <c r="D104" s="241"/>
      <c r="E104" s="361"/>
    </row>
    <row r="105" spans="1:6" ht="19.5" thickBot="1">
      <c r="B105" s="362" t="s">
        <v>393</v>
      </c>
      <c r="C105" s="363"/>
      <c r="D105" s="241"/>
      <c r="E105" s="364">
        <f>+E5</f>
        <v>609176380.9523809</v>
      </c>
    </row>
    <row r="106" spans="1:6" ht="16.5" thickBot="1">
      <c r="B106" s="365" t="s">
        <v>394</v>
      </c>
      <c r="C106" s="366"/>
      <c r="D106" s="367"/>
      <c r="E106" s="364">
        <f>SUM(D107:D139)</f>
        <v>367891270</v>
      </c>
    </row>
    <row r="107" spans="1:6">
      <c r="B107" s="368" t="s">
        <v>395</v>
      </c>
      <c r="C107" s="369" t="s">
        <v>396</v>
      </c>
      <c r="D107" s="370">
        <f>+D7</f>
        <v>52125000</v>
      </c>
      <c r="E107" s="371"/>
    </row>
    <row r="108" spans="1:6">
      <c r="B108" s="372" t="s">
        <v>397</v>
      </c>
      <c r="C108" s="369" t="s">
        <v>396</v>
      </c>
      <c r="D108" s="373">
        <f>+D8</f>
        <v>0</v>
      </c>
      <c r="E108" s="371"/>
    </row>
    <row r="109" spans="1:6">
      <c r="B109" s="372" t="s">
        <v>539</v>
      </c>
      <c r="C109" s="369" t="s">
        <v>396</v>
      </c>
      <c r="D109" s="373">
        <f>+D9</f>
        <v>3000000</v>
      </c>
      <c r="E109" s="371"/>
    </row>
    <row r="110" spans="1:6">
      <c r="B110" s="372" t="s">
        <v>398</v>
      </c>
      <c r="C110" s="369" t="s">
        <v>396</v>
      </c>
      <c r="D110" s="373">
        <f t="shared" ref="D109:D139" si="1">+D10</f>
        <v>6000000</v>
      </c>
      <c r="E110" s="371"/>
    </row>
    <row r="111" spans="1:6">
      <c r="B111" s="375" t="s">
        <v>536</v>
      </c>
      <c r="C111" s="369" t="s">
        <v>537</v>
      </c>
      <c r="D111" s="373">
        <f t="shared" si="1"/>
        <v>300000000</v>
      </c>
      <c r="E111" s="371"/>
    </row>
    <row r="112" spans="1:6">
      <c r="B112" s="375" t="s">
        <v>530</v>
      </c>
      <c r="C112" s="369" t="s">
        <v>528</v>
      </c>
      <c r="D112" s="373">
        <f>+D12</f>
        <v>3966270</v>
      </c>
      <c r="E112" s="371"/>
    </row>
    <row r="113" spans="2:5">
      <c r="B113" s="375"/>
      <c r="C113" s="369" t="s">
        <v>400</v>
      </c>
      <c r="D113" s="373">
        <f t="shared" si="1"/>
        <v>0</v>
      </c>
      <c r="E113" s="371"/>
    </row>
    <row r="114" spans="2:5">
      <c r="B114" s="375" t="s">
        <v>401</v>
      </c>
      <c r="C114" s="369" t="s">
        <v>314</v>
      </c>
      <c r="D114" s="373">
        <f t="shared" si="1"/>
        <v>0</v>
      </c>
      <c r="E114" s="371"/>
    </row>
    <row r="115" spans="2:5">
      <c r="B115" s="375" t="s">
        <v>402</v>
      </c>
      <c r="C115" s="369" t="s">
        <v>314</v>
      </c>
      <c r="D115" s="373">
        <f t="shared" si="1"/>
        <v>0</v>
      </c>
      <c r="E115" s="371"/>
    </row>
    <row r="116" spans="2:5">
      <c r="B116" s="375" t="s">
        <v>403</v>
      </c>
      <c r="C116" s="369" t="s">
        <v>314</v>
      </c>
      <c r="D116" s="373">
        <f t="shared" si="1"/>
        <v>0</v>
      </c>
      <c r="E116" s="371"/>
    </row>
    <row r="117" spans="2:5">
      <c r="B117" s="375" t="s">
        <v>404</v>
      </c>
      <c r="C117" s="369" t="s">
        <v>314</v>
      </c>
      <c r="D117" s="373">
        <f t="shared" si="1"/>
        <v>2800000</v>
      </c>
      <c r="E117" s="371"/>
    </row>
    <row r="118" spans="2:5">
      <c r="B118" s="375" t="s">
        <v>405</v>
      </c>
      <c r="C118" s="369" t="s">
        <v>314</v>
      </c>
      <c r="D118" s="373">
        <f t="shared" si="1"/>
        <v>0</v>
      </c>
      <c r="E118" s="371"/>
    </row>
    <row r="119" spans="2:5">
      <c r="B119" s="375" t="s">
        <v>406</v>
      </c>
      <c r="C119" s="369" t="s">
        <v>407</v>
      </c>
      <c r="D119" s="373"/>
      <c r="E119" s="371"/>
    </row>
    <row r="120" spans="2:5">
      <c r="B120" s="375" t="s">
        <v>408</v>
      </c>
      <c r="C120" s="369" t="s">
        <v>407</v>
      </c>
      <c r="D120" s="373">
        <f t="shared" si="1"/>
        <v>0</v>
      </c>
      <c r="E120" s="371"/>
    </row>
    <row r="121" spans="2:5">
      <c r="B121" s="375" t="s">
        <v>409</v>
      </c>
      <c r="C121" s="369" t="s">
        <v>410</v>
      </c>
      <c r="D121" s="373"/>
      <c r="E121" s="371"/>
    </row>
    <row r="122" spans="2:5">
      <c r="B122" s="375" t="s">
        <v>540</v>
      </c>
      <c r="C122" s="369" t="s">
        <v>541</v>
      </c>
      <c r="D122" s="373"/>
      <c r="E122" s="371"/>
    </row>
    <row r="123" spans="2:5">
      <c r="B123" s="375" t="s">
        <v>411</v>
      </c>
      <c r="C123" s="369" t="s">
        <v>412</v>
      </c>
      <c r="D123" s="373">
        <f t="shared" si="1"/>
        <v>0</v>
      </c>
      <c r="E123" s="371"/>
    </row>
    <row r="124" spans="2:5">
      <c r="B124" s="375" t="s">
        <v>413</v>
      </c>
      <c r="C124" s="369" t="s">
        <v>414</v>
      </c>
      <c r="D124" s="373">
        <f t="shared" si="1"/>
        <v>0</v>
      </c>
      <c r="E124" s="371"/>
    </row>
    <row r="125" spans="2:5">
      <c r="B125" s="375" t="s">
        <v>415</v>
      </c>
      <c r="C125" s="369" t="s">
        <v>416</v>
      </c>
      <c r="D125" s="373">
        <f t="shared" si="1"/>
        <v>0</v>
      </c>
      <c r="E125" s="371"/>
    </row>
    <row r="126" spans="2:5">
      <c r="B126" s="375" t="s">
        <v>417</v>
      </c>
      <c r="C126" s="369" t="s">
        <v>416</v>
      </c>
      <c r="D126" s="373">
        <f t="shared" si="1"/>
        <v>0</v>
      </c>
      <c r="E126" s="371"/>
    </row>
    <row r="127" spans="2:5">
      <c r="B127" s="375" t="s">
        <v>527</v>
      </c>
      <c r="C127" s="369" t="s">
        <v>416</v>
      </c>
      <c r="D127" s="373">
        <f t="shared" si="1"/>
        <v>0</v>
      </c>
      <c r="E127" s="371"/>
    </row>
    <row r="128" spans="2:5">
      <c r="B128" s="375" t="s">
        <v>529</v>
      </c>
      <c r="C128" s="369" t="s">
        <v>416</v>
      </c>
      <c r="D128" s="373">
        <f t="shared" si="1"/>
        <v>0</v>
      </c>
      <c r="E128" s="371"/>
    </row>
    <row r="129" spans="2:5">
      <c r="B129" s="375" t="s">
        <v>418</v>
      </c>
      <c r="C129" s="369" t="s">
        <v>416</v>
      </c>
      <c r="D129" s="373">
        <f t="shared" si="1"/>
        <v>0</v>
      </c>
      <c r="E129" s="371"/>
    </row>
    <row r="130" spans="2:5">
      <c r="B130" s="375"/>
      <c r="C130" s="369" t="s">
        <v>416</v>
      </c>
      <c r="D130" s="373">
        <f t="shared" si="1"/>
        <v>0</v>
      </c>
      <c r="E130" s="371"/>
    </row>
    <row r="131" spans="2:5">
      <c r="B131" s="375"/>
      <c r="C131" s="369" t="s">
        <v>416</v>
      </c>
      <c r="D131" s="373">
        <f t="shared" si="1"/>
        <v>0</v>
      </c>
      <c r="E131" s="371"/>
    </row>
    <row r="132" spans="2:5">
      <c r="B132" s="375" t="s">
        <v>419</v>
      </c>
      <c r="C132" s="369" t="s">
        <v>416</v>
      </c>
      <c r="D132" s="373">
        <f t="shared" si="1"/>
        <v>0</v>
      </c>
      <c r="E132" s="371"/>
    </row>
    <row r="133" spans="2:5">
      <c r="B133" s="375"/>
      <c r="C133" s="369" t="s">
        <v>416</v>
      </c>
      <c r="D133" s="373">
        <f t="shared" si="1"/>
        <v>0</v>
      </c>
      <c r="E133" s="371"/>
    </row>
    <row r="134" spans="2:5">
      <c r="B134" s="375"/>
      <c r="C134" s="369" t="s">
        <v>416</v>
      </c>
      <c r="D134" s="373">
        <f t="shared" si="1"/>
        <v>0</v>
      </c>
      <c r="E134" s="371"/>
    </row>
    <row r="135" spans="2:5">
      <c r="B135" s="375"/>
      <c r="C135" s="369" t="s">
        <v>420</v>
      </c>
      <c r="D135" s="373">
        <f t="shared" si="1"/>
        <v>0</v>
      </c>
      <c r="E135" s="371"/>
    </row>
    <row r="136" spans="2:5">
      <c r="B136" s="372"/>
      <c r="C136" s="369" t="s">
        <v>421</v>
      </c>
      <c r="D136" s="373">
        <f t="shared" si="1"/>
        <v>0</v>
      </c>
      <c r="E136" s="371"/>
    </row>
    <row r="137" spans="2:5">
      <c r="B137" s="372"/>
      <c r="C137" s="369" t="s">
        <v>422</v>
      </c>
      <c r="D137" s="373">
        <f t="shared" si="1"/>
        <v>0</v>
      </c>
      <c r="E137" s="371"/>
    </row>
    <row r="138" spans="2:5">
      <c r="B138" s="372"/>
      <c r="C138" s="369" t="s">
        <v>423</v>
      </c>
      <c r="D138" s="373">
        <f t="shared" si="1"/>
        <v>0</v>
      </c>
      <c r="E138" s="371"/>
    </row>
    <row r="139" spans="2:5" ht="15.75" thickBot="1">
      <c r="B139" s="372"/>
      <c r="C139" s="376" t="s">
        <v>424</v>
      </c>
      <c r="D139" s="373">
        <f t="shared" si="1"/>
        <v>0</v>
      </c>
      <c r="E139" s="371"/>
    </row>
    <row r="140" spans="2:5" ht="16.5" thickBot="1">
      <c r="B140" s="365" t="s">
        <v>425</v>
      </c>
      <c r="C140" s="366"/>
      <c r="D140" s="377"/>
      <c r="E140" s="364">
        <f>-SUM(D141:D163)</f>
        <v>-346926270</v>
      </c>
    </row>
    <row r="141" spans="2:5">
      <c r="B141" s="547" t="s">
        <v>426</v>
      </c>
      <c r="C141" s="548" t="s">
        <v>427</v>
      </c>
      <c r="D141" s="378">
        <v>0</v>
      </c>
      <c r="E141" s="371"/>
    </row>
    <row r="142" spans="2:5">
      <c r="B142" s="379" t="s">
        <v>428</v>
      </c>
      <c r="C142" s="380" t="s">
        <v>427</v>
      </c>
      <c r="D142" s="381">
        <f>+'[13]ACTIVO FIJO'!L120</f>
        <v>0</v>
      </c>
      <c r="E142" s="371"/>
    </row>
    <row r="143" spans="2:5">
      <c r="B143" s="379" t="s">
        <v>429</v>
      </c>
      <c r="C143" s="380" t="s">
        <v>427</v>
      </c>
      <c r="D143" s="381">
        <f>+D43</f>
        <v>12960000.000000015</v>
      </c>
      <c r="E143" s="371"/>
    </row>
    <row r="144" spans="2:5">
      <c r="B144" s="379" t="s">
        <v>538</v>
      </c>
      <c r="C144" s="380" t="s">
        <v>310</v>
      </c>
      <c r="D144" s="381">
        <f>+D44</f>
        <v>330000000</v>
      </c>
      <c r="E144" s="371"/>
    </row>
    <row r="145" spans="2:5">
      <c r="B145" s="379"/>
      <c r="C145" s="380" t="s">
        <v>430</v>
      </c>
      <c r="D145" s="381"/>
      <c r="E145" s="382"/>
    </row>
    <row r="146" spans="2:5">
      <c r="B146" s="383" t="s">
        <v>431</v>
      </c>
      <c r="C146" s="380" t="s">
        <v>432</v>
      </c>
      <c r="D146" s="381"/>
      <c r="E146" s="382"/>
    </row>
    <row r="147" spans="2:5">
      <c r="B147" s="379"/>
      <c r="C147" s="380" t="s">
        <v>433</v>
      </c>
      <c r="D147" s="381"/>
      <c r="E147" s="382"/>
    </row>
    <row r="148" spans="2:5">
      <c r="B148" s="549" t="s">
        <v>434</v>
      </c>
      <c r="C148" s="380" t="s">
        <v>435</v>
      </c>
      <c r="D148" s="384">
        <f>+'activo no corriente 2022 '!I142+'activo no corriente 2022 '!I167+'activo no corriente 2022 '!I236</f>
        <v>0</v>
      </c>
      <c r="E148" s="382"/>
    </row>
    <row r="149" spans="2:5">
      <c r="B149" s="549"/>
      <c r="C149" s="380" t="s">
        <v>436</v>
      </c>
      <c r="D149" s="381"/>
      <c r="E149" s="382"/>
    </row>
    <row r="150" spans="2:5">
      <c r="B150" s="549"/>
      <c r="C150" s="380" t="s">
        <v>437</v>
      </c>
      <c r="D150" s="381"/>
      <c r="E150" s="382"/>
    </row>
    <row r="151" spans="2:5">
      <c r="B151" s="550" t="s">
        <v>418</v>
      </c>
      <c r="C151" s="380" t="s">
        <v>438</v>
      </c>
      <c r="D151" s="384">
        <f>+D112</f>
        <v>3966270</v>
      </c>
      <c r="E151" s="382"/>
    </row>
    <row r="152" spans="2:5">
      <c r="B152" s="550" t="s">
        <v>399</v>
      </c>
      <c r="C152" s="380" t="s">
        <v>438</v>
      </c>
      <c r="D152" s="384"/>
      <c r="E152" s="382"/>
    </row>
    <row r="153" spans="2:5">
      <c r="B153" s="549"/>
      <c r="C153" s="380" t="s">
        <v>438</v>
      </c>
      <c r="D153" s="384">
        <f t="shared" ref="D153:D156" si="2">+D131</f>
        <v>0</v>
      </c>
      <c r="E153" s="382"/>
    </row>
    <row r="154" spans="2:5">
      <c r="B154" s="550" t="s">
        <v>419</v>
      </c>
      <c r="C154" s="380" t="s">
        <v>439</v>
      </c>
      <c r="D154" s="384">
        <f t="shared" si="2"/>
        <v>0</v>
      </c>
      <c r="E154" s="382"/>
    </row>
    <row r="155" spans="2:5">
      <c r="B155" s="549"/>
      <c r="C155" s="380" t="s">
        <v>439</v>
      </c>
      <c r="D155" s="384">
        <f t="shared" si="2"/>
        <v>0</v>
      </c>
      <c r="E155" s="382"/>
    </row>
    <row r="156" spans="2:5">
      <c r="B156" s="549"/>
      <c r="C156" s="380" t="s">
        <v>439</v>
      </c>
      <c r="D156" s="384">
        <f t="shared" si="2"/>
        <v>0</v>
      </c>
      <c r="E156" s="382"/>
    </row>
    <row r="157" spans="2:5">
      <c r="B157" s="379" t="s">
        <v>440</v>
      </c>
      <c r="C157" s="380" t="s">
        <v>441</v>
      </c>
      <c r="D157" s="381"/>
      <c r="E157" s="382"/>
    </row>
    <row r="158" spans="2:5">
      <c r="B158" s="379"/>
      <c r="C158" s="380" t="s">
        <v>442</v>
      </c>
      <c r="D158" s="381"/>
      <c r="E158" s="382"/>
    </row>
    <row r="159" spans="2:5">
      <c r="B159" s="383" t="s">
        <v>443</v>
      </c>
      <c r="C159" s="380" t="s">
        <v>444</v>
      </c>
      <c r="D159" s="381"/>
      <c r="E159" s="382"/>
    </row>
    <row r="160" spans="2:5">
      <c r="B160" s="379"/>
      <c r="C160" s="380" t="s">
        <v>445</v>
      </c>
      <c r="D160" s="381"/>
      <c r="E160" s="382"/>
    </row>
    <row r="161" spans="2:5">
      <c r="B161" s="379"/>
      <c r="C161" s="380" t="s">
        <v>446</v>
      </c>
      <c r="D161" s="381"/>
      <c r="E161" s="382"/>
    </row>
    <row r="162" spans="2:5">
      <c r="B162" s="385" t="s">
        <v>447</v>
      </c>
      <c r="C162" s="380" t="s">
        <v>448</v>
      </c>
      <c r="D162" s="381"/>
      <c r="E162" s="382"/>
    </row>
    <row r="163" spans="2:5" ht="15.75" thickBot="1">
      <c r="B163" s="386" t="s">
        <v>449</v>
      </c>
      <c r="C163" s="387" t="s">
        <v>450</v>
      </c>
      <c r="D163" s="381"/>
      <c r="E163" s="382"/>
    </row>
    <row r="164" spans="2:5" ht="15.75" thickBot="1">
      <c r="B164" s="388" t="s">
        <v>108</v>
      </c>
      <c r="C164" s="389"/>
      <c r="D164" s="390"/>
      <c r="E164" s="391">
        <f>+E105+E106+E140</f>
        <v>630141380.9523809</v>
      </c>
    </row>
    <row r="165" spans="2:5" ht="16.5" thickBot="1">
      <c r="B165" s="251" t="s">
        <v>326</v>
      </c>
      <c r="C165" s="252"/>
      <c r="D165" s="241"/>
      <c r="E165" s="391">
        <f>-D171</f>
        <v>-260670690.47619045</v>
      </c>
    </row>
    <row r="166" spans="2:5" ht="15.75">
      <c r="B166" s="253" t="s">
        <v>327</v>
      </c>
      <c r="C166" s="254"/>
      <c r="D166" s="241"/>
      <c r="E166" s="371"/>
    </row>
    <row r="167" spans="2:5">
      <c r="B167" s="255" t="s">
        <v>328</v>
      </c>
      <c r="C167" s="256"/>
      <c r="D167" s="257">
        <f>+E164</f>
        <v>630141380.9523809</v>
      </c>
      <c r="E167" s="371"/>
    </row>
    <row r="168" spans="2:5">
      <c r="B168" s="258" t="s">
        <v>443</v>
      </c>
      <c r="C168" s="259"/>
      <c r="D168" s="260">
        <f>+D68</f>
        <v>106000000</v>
      </c>
      <c r="E168" s="371"/>
    </row>
    <row r="169" spans="2:5">
      <c r="B169" s="258" t="s">
        <v>329</v>
      </c>
      <c r="C169" s="259"/>
      <c r="D169" s="260">
        <f>+D117</f>
        <v>2800000</v>
      </c>
      <c r="E169" s="371"/>
    </row>
    <row r="170" spans="2:5">
      <c r="B170" s="255" t="s">
        <v>330</v>
      </c>
      <c r="C170" s="261"/>
      <c r="D170" s="257">
        <f>+D167-D168-D169</f>
        <v>521341380.9523809</v>
      </c>
      <c r="E170" s="371"/>
    </row>
    <row r="171" spans="2:5" ht="15.75" thickBot="1">
      <c r="B171" s="262">
        <v>0.5</v>
      </c>
      <c r="C171" s="263"/>
      <c r="D171" s="264">
        <f>+D170/2</f>
        <v>260670690.47619045</v>
      </c>
      <c r="E171" s="371"/>
    </row>
    <row r="172" spans="2:5" ht="15.75" thickBot="1">
      <c r="B172" s="388" t="s">
        <v>108</v>
      </c>
      <c r="C172" s="392"/>
      <c r="D172" s="390"/>
      <c r="E172" s="391">
        <f>+E164+E165</f>
        <v>369470690.47619045</v>
      </c>
    </row>
    <row r="173" spans="2:5" ht="16.5" thickBot="1">
      <c r="B173" s="393" t="s">
        <v>451</v>
      </c>
      <c r="C173" s="394"/>
      <c r="D173" s="395"/>
      <c r="E173" s="396">
        <f>+D175</f>
        <v>0</v>
      </c>
    </row>
    <row r="174" spans="2:5" ht="15.75">
      <c r="B174" s="397" t="s">
        <v>452</v>
      </c>
      <c r="C174" s="398"/>
      <c r="D174" s="241"/>
      <c r="E174" s="399"/>
    </row>
    <row r="175" spans="2:5">
      <c r="B175" s="255" t="s">
        <v>453</v>
      </c>
      <c r="C175" s="256"/>
      <c r="D175" s="260"/>
      <c r="E175" s="399"/>
    </row>
    <row r="176" spans="2:5">
      <c r="B176" s="400" t="s">
        <v>454</v>
      </c>
      <c r="C176" s="401"/>
      <c r="D176" s="257">
        <f>+E172</f>
        <v>369470690.47619045</v>
      </c>
      <c r="E176" s="399"/>
    </row>
    <row r="177" spans="2:5">
      <c r="B177" s="255" t="s">
        <v>455</v>
      </c>
      <c r="C177" s="402"/>
      <c r="D177" s="260"/>
      <c r="E177" s="399"/>
    </row>
    <row r="178" spans="2:5" ht="16.5" thickBot="1">
      <c r="B178" s="397"/>
      <c r="C178" s="398"/>
      <c r="D178" s="241"/>
      <c r="E178" s="399"/>
    </row>
    <row r="179" spans="2:5" ht="15.75" thickBot="1">
      <c r="B179" s="403" t="s">
        <v>108</v>
      </c>
      <c r="C179" s="404"/>
      <c r="D179" s="241"/>
      <c r="E179" s="391">
        <f>+E172-E173</f>
        <v>369470690.47619045</v>
      </c>
    </row>
    <row r="180" spans="2:5" ht="16.5" thickBot="1">
      <c r="B180" s="393" t="s">
        <v>456</v>
      </c>
      <c r="C180" s="394"/>
      <c r="D180" s="241"/>
      <c r="E180" s="391">
        <f>+C190</f>
        <v>0</v>
      </c>
    </row>
    <row r="181" spans="2:5" ht="15.75">
      <c r="B181" s="393"/>
      <c r="C181" s="394"/>
      <c r="D181" s="241"/>
      <c r="E181" s="382"/>
    </row>
    <row r="182" spans="2:5" ht="15.75">
      <c r="B182" s="393" t="s">
        <v>457</v>
      </c>
      <c r="C182" s="405"/>
      <c r="D182" s="406"/>
      <c r="E182" s="382"/>
    </row>
    <row r="183" spans="2:5">
      <c r="B183" s="407" t="s">
        <v>458</v>
      </c>
      <c r="C183" s="408"/>
      <c r="D183" s="406"/>
      <c r="E183" s="382"/>
    </row>
    <row r="184" spans="2:5">
      <c r="B184" s="409" t="s">
        <v>459</v>
      </c>
      <c r="C184" s="408">
        <f>+C183*0.33333</f>
        <v>0</v>
      </c>
      <c r="D184" s="406"/>
      <c r="E184" s="382"/>
    </row>
    <row r="185" spans="2:5">
      <c r="B185" s="409" t="s">
        <v>460</v>
      </c>
      <c r="C185" s="408">
        <f>+C183+C184</f>
        <v>0</v>
      </c>
      <c r="D185" s="406"/>
      <c r="E185" s="382"/>
    </row>
    <row r="186" spans="2:5">
      <c r="B186" s="409" t="s">
        <v>461</v>
      </c>
      <c r="C186" s="408"/>
      <c r="D186" s="406"/>
      <c r="E186" s="382"/>
    </row>
    <row r="187" spans="2:5">
      <c r="B187" s="409" t="s">
        <v>462</v>
      </c>
      <c r="C187" s="408">
        <f>-C182*90%</f>
        <v>0</v>
      </c>
      <c r="D187" s="406"/>
      <c r="E187" s="382"/>
    </row>
    <row r="188" spans="2:5">
      <c r="B188" s="409" t="s">
        <v>463</v>
      </c>
      <c r="C188" s="410">
        <f>+C182+C187</f>
        <v>0</v>
      </c>
      <c r="D188" s="233"/>
      <c r="E188" s="382"/>
    </row>
    <row r="189" spans="2:5">
      <c r="B189" s="411" t="s">
        <v>464</v>
      </c>
      <c r="C189" s="233"/>
      <c r="D189" s="233"/>
      <c r="E189" s="382"/>
    </row>
    <row r="190" spans="2:5" ht="15.75" thickBot="1">
      <c r="B190" s="407" t="s">
        <v>465</v>
      </c>
      <c r="C190" s="412">
        <f>-C182+C188</f>
        <v>0</v>
      </c>
      <c r="D190" s="233"/>
      <c r="E190" s="382"/>
    </row>
    <row r="191" spans="2:5" ht="15.75" thickBot="1">
      <c r="B191" s="235" t="s">
        <v>466</v>
      </c>
      <c r="C191" s="364">
        <f>+C190*25%</f>
        <v>0</v>
      </c>
      <c r="D191" s="233"/>
      <c r="E191" s="382"/>
    </row>
    <row r="192" spans="2:5" ht="15.75" thickBot="1">
      <c r="B192" s="235" t="s">
        <v>467</v>
      </c>
      <c r="C192" s="364">
        <f>+C184-C191</f>
        <v>0</v>
      </c>
      <c r="D192" s="233"/>
      <c r="E192" s="382"/>
    </row>
    <row r="193" spans="2:5" ht="16.5" thickBot="1">
      <c r="B193" s="253" t="s">
        <v>468</v>
      </c>
      <c r="C193" s="254"/>
      <c r="D193" s="241"/>
      <c r="E193" s="391">
        <f>+E179-E180</f>
        <v>369470690.47619045</v>
      </c>
    </row>
    <row r="194" spans="2:5" ht="15.75" thickBot="1">
      <c r="B194" s="411" t="s">
        <v>325</v>
      </c>
      <c r="C194" s="413"/>
      <c r="D194" s="414">
        <v>0.27</v>
      </c>
      <c r="E194" s="391">
        <f>+E193*D194</f>
        <v>99757086.428571433</v>
      </c>
    </row>
    <row r="195" spans="2:5">
      <c r="B195" s="411"/>
      <c r="C195" s="413"/>
      <c r="D195" s="414"/>
      <c r="E195" s="399"/>
    </row>
    <row r="196" spans="2:5" ht="15.75" thickBot="1">
      <c r="B196" s="359" t="s">
        <v>469</v>
      </c>
      <c r="C196" s="360"/>
      <c r="D196" s="241"/>
      <c r="E196" s="382"/>
    </row>
    <row r="197" spans="2:5" ht="15.75" thickBot="1">
      <c r="B197" s="235" t="s">
        <v>470</v>
      </c>
      <c r="C197" s="235"/>
      <c r="D197" s="391">
        <f>+D151</f>
        <v>3966270</v>
      </c>
      <c r="E197" s="382"/>
    </row>
    <row r="198" spans="2:5" ht="16.5" thickBot="1">
      <c r="B198" s="397" t="s">
        <v>471</v>
      </c>
      <c r="C198" s="397"/>
      <c r="D198" s="391">
        <f>+D197</f>
        <v>3966270</v>
      </c>
      <c r="E198" s="382"/>
    </row>
    <row r="199" spans="2:5" ht="15.75">
      <c r="B199" s="397" t="s">
        <v>472</v>
      </c>
      <c r="C199" s="415">
        <v>0.4</v>
      </c>
      <c r="D199" s="416">
        <f>+D198*C199</f>
        <v>1586508</v>
      </c>
      <c r="E199" s="382"/>
    </row>
    <row r="200" spans="2:5" ht="15.75" thickBot="1">
      <c r="B200" s="417"/>
      <c r="C200" s="418"/>
      <c r="D200" s="419"/>
      <c r="E200" s="420"/>
    </row>
    <row r="201" spans="2:5" ht="15.75" thickBot="1"/>
    <row r="202" spans="2:5" ht="16.5" thickBot="1">
      <c r="B202" s="551" t="s">
        <v>89</v>
      </c>
      <c r="C202" s="552"/>
      <c r="D202" s="390"/>
      <c r="E202" s="391">
        <f>+E94-E194</f>
        <v>-1918100.2747252584</v>
      </c>
    </row>
  </sheetData>
  <mergeCells count="2">
    <mergeCell ref="B2:E2"/>
    <mergeCell ref="B102:E102"/>
  </mergeCells>
  <pageMargins left="0.70866141732283472" right="0.70866141732283472" top="0.74803149606299213" bottom="0.74803149606299213" header="0.31496062992125984" footer="0.31496062992125984"/>
  <pageSetup scale="10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"/>
  <sheetViews>
    <sheetView workbookViewId="0">
      <selection activeCell="E7" sqref="E7"/>
    </sheetView>
  </sheetViews>
  <sheetFormatPr baseColWidth="10" defaultRowHeight="15"/>
  <cols>
    <col min="4" max="4" width="23.5703125" customWidth="1"/>
    <col min="5" max="5" width="13.7109375" bestFit="1" customWidth="1"/>
    <col min="6" max="6" width="13" bestFit="1" customWidth="1"/>
  </cols>
  <sheetData>
    <row r="2" spans="2:6">
      <c r="B2" s="4" t="s">
        <v>193</v>
      </c>
      <c r="C2" s="4" t="s">
        <v>168</v>
      </c>
      <c r="D2" s="4"/>
      <c r="E2" s="320">
        <f>+'RLI AT 2023'!E194</f>
        <v>99757086.428571433</v>
      </c>
      <c r="F2" s="4"/>
    </row>
    <row r="3" spans="2:6">
      <c r="B3" s="4"/>
      <c r="C3" s="4" t="s">
        <v>169</v>
      </c>
      <c r="D3" s="4"/>
      <c r="E3" s="242"/>
      <c r="F3" s="320">
        <f>-'RLI AT 2023'!E202</f>
        <v>1918100.2747252584</v>
      </c>
    </row>
    <row r="4" spans="2:6">
      <c r="B4" s="4"/>
      <c r="C4" s="4"/>
      <c r="D4" s="4" t="s">
        <v>170</v>
      </c>
      <c r="E4" s="4"/>
      <c r="F4" s="320">
        <f>+'RLI AT 2023'!E94</f>
        <v>97838986.153846174</v>
      </c>
    </row>
    <row r="5" spans="2:6">
      <c r="B5" s="4"/>
      <c r="C5" s="4"/>
      <c r="D5" s="4"/>
      <c r="E5" s="4"/>
      <c r="F5" s="4"/>
    </row>
    <row r="6" spans="2:6">
      <c r="B6" s="4" t="s">
        <v>532</v>
      </c>
      <c r="C6" s="4" t="s">
        <v>531</v>
      </c>
      <c r="D6" s="4"/>
      <c r="E6" s="320">
        <f>+'RLI AT 2023'!D99</f>
        <v>1586508</v>
      </c>
      <c r="F6" s="4"/>
    </row>
    <row r="7" spans="2:6">
      <c r="B7" s="4"/>
      <c r="C7" s="4"/>
      <c r="D7" s="4" t="s">
        <v>170</v>
      </c>
      <c r="E7" s="4"/>
      <c r="F7" s="242">
        <f>+E6</f>
        <v>1586508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3</vt:i4>
      </vt:variant>
    </vt:vector>
  </HeadingPairs>
  <TitlesOfParts>
    <vt:vector size="26" baseType="lpstr">
      <vt:lpstr>ddjj1847 31122021</vt:lpstr>
      <vt:lpstr>balance 2022 inicial </vt:lpstr>
      <vt:lpstr>activo no corriente 2022 </vt:lpstr>
      <vt:lpstr>costo existencias</vt:lpstr>
      <vt:lpstr>prov vacaciones 2022 y 2023</vt:lpstr>
      <vt:lpstr>ajustes 2022</vt:lpstr>
      <vt:lpstr>balance 2022 antes de impuesto</vt:lpstr>
      <vt:lpstr>RLI AT 2023</vt:lpstr>
      <vt:lpstr>ajustes 2022 renta</vt:lpstr>
      <vt:lpstr>balance 2022 final </vt:lpstr>
      <vt:lpstr>RLI AT 2023 FINAL </vt:lpstr>
      <vt:lpstr>R14 AT2023</vt:lpstr>
      <vt:lpstr>ddjj1847 31122022</vt:lpstr>
      <vt:lpstr>leasing 2023</vt:lpstr>
      <vt:lpstr>activo no corriente 2023</vt:lpstr>
      <vt:lpstr>Libro Diario 2023 </vt:lpstr>
      <vt:lpstr>balance 2023 </vt:lpstr>
      <vt:lpstr>RLI AT 2024</vt:lpstr>
      <vt:lpstr>cuentas T 2023</vt:lpstr>
      <vt:lpstr>ESF Clasif 2023</vt:lpstr>
      <vt:lpstr>ER Funcion 2023</vt:lpstr>
      <vt:lpstr>Flujo Caja 2023</vt:lpstr>
      <vt:lpstr>Estado Cambio Patrimonial </vt:lpstr>
      <vt:lpstr>'activo no corriente 2022 '!Área_de_impresión</vt:lpstr>
      <vt:lpstr>'activo no corriente 2023'!Área_de_impresión</vt:lpstr>
      <vt:lpstr>'R14 AT2023'!Área_de_impresión</vt:lpstr>
    </vt:vector>
  </TitlesOfParts>
  <Company>----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--</dc:creator>
  <cp:lastModifiedBy>ROBERTO</cp:lastModifiedBy>
  <dcterms:created xsi:type="dcterms:W3CDTF">2016-11-04T20:16:45Z</dcterms:created>
  <dcterms:modified xsi:type="dcterms:W3CDTF">2024-01-06T08:26:39Z</dcterms:modified>
</cp:coreProperties>
</file>