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410" windowHeight="7545" firstSheet="21" activeTab="21"/>
  </bookViews>
  <sheets>
    <sheet name="balance 2022 inicial los andes " sheetId="15" r:id="rId1"/>
    <sheet name="activo no corriente 2022 " sheetId="18" r:id="rId2"/>
    <sheet name="provision vacaciones dos años " sheetId="21" r:id="rId3"/>
    <sheet name="balance 2022 antes impto andes" sheetId="19" r:id="rId4"/>
    <sheet name="ajustes 2022" sheetId="16" r:id="rId5"/>
    <sheet name="base imponible  at 2023 los and" sheetId="32" r:id="rId6"/>
    <sheet name="impuesto diferido" sheetId="23" r:id="rId7"/>
    <sheet name="balance 2022 final los andes " sheetId="33" r:id="rId8"/>
    <sheet name="R19 los andes at 2023" sheetId="35" r:id="rId9"/>
    <sheet name="R18 los andes at 2023" sheetId="36" r:id="rId10"/>
    <sheet name="rtre los andes at 2023" sheetId="34" r:id="rId11"/>
    <sheet name="leasing 2023" sheetId="24" r:id="rId12"/>
    <sheet name="balance YYY SAC 2023 " sheetId="37" r:id="rId13"/>
    <sheet name="fusion impropia 2023" sheetId="25" r:id="rId14"/>
    <sheet name="activo no corriente 2023" sheetId="27" r:id="rId15"/>
    <sheet name="Libro Diario 2023 " sheetId="8" r:id="rId16"/>
    <sheet name="cuentas T 2023" sheetId="6" r:id="rId17"/>
    <sheet name="balance 2023 los andes antes im" sheetId="26" r:id="rId18"/>
    <sheet name="base imponible  at 2024" sheetId="41" r:id="rId19"/>
    <sheet name="impuesto diferido 2023" sheetId="42" r:id="rId20"/>
    <sheet name="balance 2023 los andes final " sheetId="43" r:id="rId21"/>
    <sheet name="ESF Clasif 2023" sheetId="28" r:id="rId22"/>
    <sheet name="ER Funcion 2023" sheetId="29" r:id="rId23"/>
    <sheet name="Flujo Caja 2023" sheetId="31" r:id="rId24"/>
    <sheet name="Estado Cambio Patrimonial " sheetId="40" r:id="rId25"/>
    <sheet name="base imponible YYY SAC At 2024" sheetId="38" r:id="rId26"/>
    <sheet name="rtre YYY SAC AT 2024" sheetId="39" r:id="rId27"/>
    <sheet name="R19 los andes at 2024" sheetId="44" r:id="rId28"/>
    <sheet name="R18 los andes at 2024" sheetId="45" r:id="rId29"/>
    <sheet name="rtre los andes at 2024" sheetId="46" r:id="rId30"/>
    <sheet name="rtre los andes AT 2025" sheetId="4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b" localSheetId="1">#REF!</definedName>
    <definedName name="\b" localSheetId="14">#REF!</definedName>
    <definedName name="\b" localSheetId="3">#REF!</definedName>
    <definedName name="\b" localSheetId="7">#REF!</definedName>
    <definedName name="\b" localSheetId="0">#REF!</definedName>
    <definedName name="\b" localSheetId="17">#REF!</definedName>
    <definedName name="\b" localSheetId="20">#REF!</definedName>
    <definedName name="\b" localSheetId="5">#REF!</definedName>
    <definedName name="\b" localSheetId="18">#REF!</definedName>
    <definedName name="\b" localSheetId="25">#REF!</definedName>
    <definedName name="\b" localSheetId="22">#REF!</definedName>
    <definedName name="\b" localSheetId="21">#REF!</definedName>
    <definedName name="\b" localSheetId="23">#REF!</definedName>
    <definedName name="\b" localSheetId="13">#REF!</definedName>
    <definedName name="\b" localSheetId="19">#REF!</definedName>
    <definedName name="\b" localSheetId="28">#REF!</definedName>
    <definedName name="\b" localSheetId="27">#REF!</definedName>
    <definedName name="\b" localSheetId="29">#REF!</definedName>
    <definedName name="\b" localSheetId="30">#REF!</definedName>
    <definedName name="\b">#REF!</definedName>
    <definedName name="\z" localSheetId="1">#REF!</definedName>
    <definedName name="\z" localSheetId="14">#REF!</definedName>
    <definedName name="\z" localSheetId="3">#REF!</definedName>
    <definedName name="\z" localSheetId="7">#REF!</definedName>
    <definedName name="\z" localSheetId="0">#REF!</definedName>
    <definedName name="\z" localSheetId="17">#REF!</definedName>
    <definedName name="\z" localSheetId="20">#REF!</definedName>
    <definedName name="\z" localSheetId="5">#REF!</definedName>
    <definedName name="\z" localSheetId="18">#REF!</definedName>
    <definedName name="\z" localSheetId="25">#REF!</definedName>
    <definedName name="\z" localSheetId="23">#REF!</definedName>
    <definedName name="\z" localSheetId="13">#REF!</definedName>
    <definedName name="\z" localSheetId="19">#REF!</definedName>
    <definedName name="\z" localSheetId="28">#REF!</definedName>
    <definedName name="\z" localSheetId="27">#REF!</definedName>
    <definedName name="\z" localSheetId="29">#REF!</definedName>
    <definedName name="\z" localSheetId="30">#REF!</definedName>
    <definedName name="\z">#REF!</definedName>
    <definedName name="__??" localSheetId="30" hidden="1">{#N/A,#N/A,FALSE,"Cover (Japan)";#N/A,#N/A,FALSE,"Index";#N/A,#N/A,FALSE,"Comment sum"}</definedName>
    <definedName name="__??" hidden="1">{#N/A,#N/A,FALSE,"Cover (Japan)";#N/A,#N/A,FALSE,"Index";#N/A,#N/A,FALSE,"Comment sum"}</definedName>
    <definedName name="___??" localSheetId="30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localSheetId="30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localSheetId="30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localSheetId="30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localSheetId="30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PPM1" localSheetId="30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localSheetId="30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localSheetId="30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localSheetId="30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localSheetId="30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localSheetId="30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localSheetId="30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localSheetId="30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localSheetId="30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localSheetId="30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localSheetId="30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localSheetId="30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localSheetId="30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localSheetId="30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A2" localSheetId="30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localSheetId="30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localSheetId="30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localSheetId="30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localSheetId="30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14" hidden="1">'[1]1st Quarter'!#REF!</definedName>
    <definedName name="__123Graph_A" localSheetId="7" hidden="1">'[1]1st Quarter'!#REF!</definedName>
    <definedName name="__123Graph_A" localSheetId="17" hidden="1">'[1]1st Quarter'!#REF!</definedName>
    <definedName name="__123Graph_A" localSheetId="20" hidden="1">'[1]1st Quarter'!#REF!</definedName>
    <definedName name="__123Graph_A" localSheetId="18" hidden="1">'[1]1st Quarter'!#REF!</definedName>
    <definedName name="__123Graph_A" localSheetId="23" hidden="1">'[1]1st Quarter'!#REF!</definedName>
    <definedName name="__123Graph_A" localSheetId="19" hidden="1">'[1]1st Quarter'!#REF!</definedName>
    <definedName name="__123Graph_A" localSheetId="28" hidden="1">'[1]1st Quarter'!#REF!</definedName>
    <definedName name="__123Graph_A" localSheetId="27" hidden="1">'[1]1st Quarter'!#REF!</definedName>
    <definedName name="__123Graph_A" localSheetId="29" hidden="1">'[1]1st Quarter'!#REF!</definedName>
    <definedName name="__123Graph_A" localSheetId="30" hidden="1">'[1]1st Quarter'!#REF!</definedName>
    <definedName name="__123Graph_A" hidden="1">'[1]1st Quarter'!#REF!</definedName>
    <definedName name="__123Graph_B" localSheetId="14" hidden="1">'[1]1st Quarter'!#REF!</definedName>
    <definedName name="__123Graph_B" localSheetId="7" hidden="1">'[1]1st Quarter'!#REF!</definedName>
    <definedName name="__123Graph_B" localSheetId="17" hidden="1">'[1]1st Quarter'!#REF!</definedName>
    <definedName name="__123Graph_B" localSheetId="20" hidden="1">'[1]1st Quarter'!#REF!</definedName>
    <definedName name="__123Graph_B" localSheetId="18" hidden="1">'[1]1st Quarter'!#REF!</definedName>
    <definedName name="__123Graph_B" localSheetId="23" hidden="1">'[1]1st Quarter'!#REF!</definedName>
    <definedName name="__123Graph_B" localSheetId="19" hidden="1">'[1]1st Quarter'!#REF!</definedName>
    <definedName name="__123Graph_B" localSheetId="28" hidden="1">'[1]1st Quarter'!#REF!</definedName>
    <definedName name="__123Graph_B" localSheetId="27" hidden="1">'[1]1st Quarter'!#REF!</definedName>
    <definedName name="__123Graph_B" localSheetId="29" hidden="1">'[1]1st Quarter'!#REF!</definedName>
    <definedName name="__123Graph_B" localSheetId="30" hidden="1">'[1]1st Quarter'!#REF!</definedName>
    <definedName name="__123Graph_B" hidden="1">'[1]1st Quarter'!#REF!</definedName>
    <definedName name="__123Graph_C" localSheetId="14" hidden="1">'[1]1st Quarter'!#REF!</definedName>
    <definedName name="__123Graph_C" localSheetId="7" hidden="1">'[1]1st Quarter'!#REF!</definedName>
    <definedName name="__123Graph_C" localSheetId="17" hidden="1">'[1]1st Quarter'!#REF!</definedName>
    <definedName name="__123Graph_C" localSheetId="20" hidden="1">'[1]1st Quarter'!#REF!</definedName>
    <definedName name="__123Graph_C" localSheetId="18" hidden="1">'[1]1st Quarter'!#REF!</definedName>
    <definedName name="__123Graph_C" localSheetId="23" hidden="1">'[1]1st Quarter'!#REF!</definedName>
    <definedName name="__123Graph_C" localSheetId="19" hidden="1">'[1]1st Quarter'!#REF!</definedName>
    <definedName name="__123Graph_C" localSheetId="28" hidden="1">'[1]1st Quarter'!#REF!</definedName>
    <definedName name="__123Graph_C" localSheetId="27" hidden="1">'[1]1st Quarter'!#REF!</definedName>
    <definedName name="__123Graph_C" localSheetId="29" hidden="1">'[1]1st Quarter'!#REF!</definedName>
    <definedName name="__123Graph_C" localSheetId="30" hidden="1">'[1]1st Quarter'!#REF!</definedName>
    <definedName name="__123Graph_C" hidden="1">'[1]1st Quarter'!#REF!</definedName>
    <definedName name="__123Graph_D" localSheetId="14" hidden="1">'[1]1st Quarter'!#REF!</definedName>
    <definedName name="__123Graph_D" localSheetId="7" hidden="1">'[1]1st Quarter'!#REF!</definedName>
    <definedName name="__123Graph_D" localSheetId="17" hidden="1">'[1]1st Quarter'!#REF!</definedName>
    <definedName name="__123Graph_D" localSheetId="20" hidden="1">'[1]1st Quarter'!#REF!</definedName>
    <definedName name="__123Graph_D" localSheetId="18" hidden="1">'[1]1st Quarter'!#REF!</definedName>
    <definedName name="__123Graph_D" localSheetId="23" hidden="1">'[1]1st Quarter'!#REF!</definedName>
    <definedName name="__123Graph_D" localSheetId="19" hidden="1">'[1]1st Quarter'!#REF!</definedName>
    <definedName name="__123Graph_D" localSheetId="28" hidden="1">'[1]1st Quarter'!#REF!</definedName>
    <definedName name="__123Graph_D" localSheetId="27" hidden="1">'[1]1st Quarter'!#REF!</definedName>
    <definedName name="__123Graph_D" localSheetId="29" hidden="1">'[1]1st Quarter'!#REF!</definedName>
    <definedName name="__123Graph_D" localSheetId="30" hidden="1">'[1]1st Quarter'!#REF!</definedName>
    <definedName name="__123Graph_D" hidden="1">'[1]1st Quarter'!#REF!</definedName>
    <definedName name="__123Graph_E" localSheetId="14" hidden="1">'[1]1st Quarter'!#REF!</definedName>
    <definedName name="__123Graph_E" localSheetId="7" hidden="1">'[1]1st Quarter'!#REF!</definedName>
    <definedName name="__123Graph_E" localSheetId="17" hidden="1">'[1]1st Quarter'!#REF!</definedName>
    <definedName name="__123Graph_E" localSheetId="20" hidden="1">'[1]1st Quarter'!#REF!</definedName>
    <definedName name="__123Graph_E" localSheetId="18" hidden="1">'[1]1st Quarter'!#REF!</definedName>
    <definedName name="__123Graph_E" localSheetId="23" hidden="1">'[1]1st Quarter'!#REF!</definedName>
    <definedName name="__123Graph_E" localSheetId="19" hidden="1">'[1]1st Quarter'!#REF!</definedName>
    <definedName name="__123Graph_E" localSheetId="28" hidden="1">'[1]1st Quarter'!#REF!</definedName>
    <definedName name="__123Graph_E" localSheetId="27" hidden="1">'[1]1st Quarter'!#REF!</definedName>
    <definedName name="__123Graph_E" localSheetId="29" hidden="1">'[1]1st Quarter'!#REF!</definedName>
    <definedName name="__123Graph_E" localSheetId="30" hidden="1">'[1]1st Quarter'!#REF!</definedName>
    <definedName name="__123Graph_E" hidden="1">'[1]1st Quarter'!#REF!</definedName>
    <definedName name="__123Graph_F" localSheetId="14" hidden="1">'[1]1st Quarter'!#REF!</definedName>
    <definedName name="__123Graph_F" localSheetId="7" hidden="1">'[1]1st Quarter'!#REF!</definedName>
    <definedName name="__123Graph_F" localSheetId="17" hidden="1">'[1]1st Quarter'!#REF!</definedName>
    <definedName name="__123Graph_F" localSheetId="20" hidden="1">'[1]1st Quarter'!#REF!</definedName>
    <definedName name="__123Graph_F" localSheetId="18" hidden="1">'[1]1st Quarter'!#REF!</definedName>
    <definedName name="__123Graph_F" localSheetId="23" hidden="1">'[1]1st Quarter'!#REF!</definedName>
    <definedName name="__123Graph_F" localSheetId="19" hidden="1">'[1]1st Quarter'!#REF!</definedName>
    <definedName name="__123Graph_F" localSheetId="28" hidden="1">'[1]1st Quarter'!#REF!</definedName>
    <definedName name="__123Graph_F" localSheetId="27" hidden="1">'[1]1st Quarter'!#REF!</definedName>
    <definedName name="__123Graph_F" localSheetId="29" hidden="1">'[1]1st Quarter'!#REF!</definedName>
    <definedName name="__123Graph_F" localSheetId="30" hidden="1">'[1]1st Quarter'!#REF!</definedName>
    <definedName name="__123Graph_F" hidden="1">'[1]1st Quarter'!#REF!</definedName>
    <definedName name="__123Graph_LBL_A" localSheetId="14" hidden="1">'[2]7_6'!#REF!</definedName>
    <definedName name="__123Graph_LBL_A" localSheetId="7" hidden="1">'[2]7_6'!#REF!</definedName>
    <definedName name="__123Graph_LBL_A" localSheetId="17" hidden="1">'[2]7_6'!#REF!</definedName>
    <definedName name="__123Graph_LBL_A" localSheetId="20" hidden="1">'[2]7_6'!#REF!</definedName>
    <definedName name="__123Graph_LBL_A" localSheetId="18" hidden="1">'[2]7_6'!#REF!</definedName>
    <definedName name="__123Graph_LBL_A" localSheetId="23" hidden="1">'[2]7_6'!#REF!</definedName>
    <definedName name="__123Graph_LBL_A" localSheetId="19" hidden="1">'[2]7_6'!#REF!</definedName>
    <definedName name="__123Graph_LBL_A" localSheetId="28" hidden="1">'[2]7_6'!#REF!</definedName>
    <definedName name="__123Graph_LBL_A" localSheetId="27" hidden="1">'[2]7_6'!#REF!</definedName>
    <definedName name="__123Graph_LBL_A" localSheetId="29" hidden="1">'[2]7_6'!#REF!</definedName>
    <definedName name="__123Graph_LBL_A" localSheetId="30" hidden="1">'[2]7_6'!#REF!</definedName>
    <definedName name="__123Graph_LBL_A" hidden="1">'[2]7_6'!#REF!</definedName>
    <definedName name="__123Graph_LBL_AGraph1" localSheetId="14" hidden="1">'[2]7_6'!#REF!</definedName>
    <definedName name="__123Graph_LBL_AGraph1" localSheetId="7" hidden="1">'[2]7_6'!#REF!</definedName>
    <definedName name="__123Graph_LBL_AGraph1" localSheetId="17" hidden="1">'[2]7_6'!#REF!</definedName>
    <definedName name="__123Graph_LBL_AGraph1" localSheetId="20" hidden="1">'[2]7_6'!#REF!</definedName>
    <definedName name="__123Graph_LBL_AGraph1" localSheetId="18" hidden="1">'[2]7_6'!#REF!</definedName>
    <definedName name="__123Graph_LBL_AGraph1" localSheetId="23" hidden="1">'[2]7_6'!#REF!</definedName>
    <definedName name="__123Graph_LBL_AGraph1" localSheetId="19" hidden="1">'[2]7_6'!#REF!</definedName>
    <definedName name="__123Graph_LBL_AGraph1" localSheetId="28" hidden="1">'[2]7_6'!#REF!</definedName>
    <definedName name="__123Graph_LBL_AGraph1" localSheetId="27" hidden="1">'[2]7_6'!#REF!</definedName>
    <definedName name="__123Graph_LBL_AGraph1" localSheetId="29" hidden="1">'[2]7_6'!#REF!</definedName>
    <definedName name="__123Graph_LBL_AGraph1" localSheetId="30" hidden="1">'[2]7_6'!#REF!</definedName>
    <definedName name="__123Graph_LBL_AGraph1" hidden="1">'[2]7_6'!#REF!</definedName>
    <definedName name="__123Graph_LBL_B" localSheetId="14" hidden="1">'[2]7_6'!#REF!</definedName>
    <definedName name="__123Graph_LBL_B" localSheetId="7" hidden="1">'[2]7_6'!#REF!</definedName>
    <definedName name="__123Graph_LBL_B" localSheetId="17" hidden="1">'[2]7_6'!#REF!</definedName>
    <definedName name="__123Graph_LBL_B" localSheetId="20" hidden="1">'[2]7_6'!#REF!</definedName>
    <definedName name="__123Graph_LBL_B" localSheetId="18" hidden="1">'[2]7_6'!#REF!</definedName>
    <definedName name="__123Graph_LBL_B" localSheetId="23" hidden="1">'[2]7_6'!#REF!</definedName>
    <definedName name="__123Graph_LBL_B" localSheetId="19" hidden="1">'[2]7_6'!#REF!</definedName>
    <definedName name="__123Graph_LBL_B" localSheetId="28" hidden="1">'[2]7_6'!#REF!</definedName>
    <definedName name="__123Graph_LBL_B" localSheetId="27" hidden="1">'[2]7_6'!#REF!</definedName>
    <definedName name="__123Graph_LBL_B" localSheetId="29" hidden="1">'[2]7_6'!#REF!</definedName>
    <definedName name="__123Graph_LBL_B" localSheetId="30" hidden="1">'[2]7_6'!#REF!</definedName>
    <definedName name="__123Graph_LBL_B" hidden="1">'[2]7_6'!#REF!</definedName>
    <definedName name="__123Graph_LBL_BGraph1" localSheetId="14" hidden="1">'[2]7_6'!#REF!</definedName>
    <definedName name="__123Graph_LBL_BGraph1" localSheetId="7" hidden="1">'[2]7_6'!#REF!</definedName>
    <definedName name="__123Graph_LBL_BGraph1" localSheetId="17" hidden="1">'[2]7_6'!#REF!</definedName>
    <definedName name="__123Graph_LBL_BGraph1" localSheetId="20" hidden="1">'[2]7_6'!#REF!</definedName>
    <definedName name="__123Graph_LBL_BGraph1" localSheetId="18" hidden="1">'[2]7_6'!#REF!</definedName>
    <definedName name="__123Graph_LBL_BGraph1" localSheetId="23" hidden="1">'[2]7_6'!#REF!</definedName>
    <definedName name="__123Graph_LBL_BGraph1" localSheetId="19" hidden="1">'[2]7_6'!#REF!</definedName>
    <definedName name="__123Graph_LBL_BGraph1" localSheetId="28" hidden="1">'[2]7_6'!#REF!</definedName>
    <definedName name="__123Graph_LBL_BGraph1" localSheetId="27" hidden="1">'[2]7_6'!#REF!</definedName>
    <definedName name="__123Graph_LBL_BGraph1" localSheetId="29" hidden="1">'[2]7_6'!#REF!</definedName>
    <definedName name="__123Graph_LBL_BGraph1" localSheetId="30" hidden="1">'[2]7_6'!#REF!</definedName>
    <definedName name="__123Graph_LBL_BGraph1" hidden="1">'[2]7_6'!#REF!</definedName>
    <definedName name="__123Graph_X" localSheetId="14" hidden="1">'[1]1st Quarter'!#REF!</definedName>
    <definedName name="__123Graph_X" localSheetId="7" hidden="1">'[1]1st Quarter'!#REF!</definedName>
    <definedName name="__123Graph_X" localSheetId="17" hidden="1">'[1]1st Quarter'!#REF!</definedName>
    <definedName name="__123Graph_X" localSheetId="20" hidden="1">'[1]1st Quarter'!#REF!</definedName>
    <definedName name="__123Graph_X" localSheetId="18" hidden="1">'[1]1st Quarter'!#REF!</definedName>
    <definedName name="__123Graph_X" localSheetId="23" hidden="1">'[1]1st Quarter'!#REF!</definedName>
    <definedName name="__123Graph_X" localSheetId="19" hidden="1">'[1]1st Quarter'!#REF!</definedName>
    <definedName name="__123Graph_X" localSheetId="28" hidden="1">'[1]1st Quarter'!#REF!</definedName>
    <definedName name="__123Graph_X" localSheetId="27" hidden="1">'[1]1st Quarter'!#REF!</definedName>
    <definedName name="__123Graph_X" localSheetId="29" hidden="1">'[1]1st Quarter'!#REF!</definedName>
    <definedName name="__123Graph_X" localSheetId="30" hidden="1">'[1]1st Quarter'!#REF!</definedName>
    <definedName name="__123Graph_X" hidden="1">'[1]1st Quarter'!#REF!</definedName>
    <definedName name="__A2" localSheetId="30" hidden="1">{#N/A,#N/A,FALSE,"Aging Summary";#N/A,#N/A,FALSE,"Ratio Analysis";#N/A,#N/A,FALSE,"Test 120 Day Accts";#N/A,#N/A,FALSE,"Tickmarks"}</definedName>
    <definedName name="__A2" hidden="1">{#N/A,#N/A,FALSE,"Aging Summary";#N/A,#N/A,FALSE,"Ratio Analysis";#N/A,#N/A,FALSE,"Test 120 Day Accts";#N/A,#N/A,FALSE,"Tickmarks"}</definedName>
    <definedName name="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localSheetId="30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localSheetId="30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t8" localSheetId="30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localSheetId="30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[3]Exh5_1!$D$26:$D$27</definedName>
    <definedName name="_2_??" localSheetId="30" hidden="1">{#N/A,#N/A,FALSE,"Cover (Japan)";#N/A,#N/A,FALSE,"Index";#N/A,#N/A,FALSE,"Comment sum"}</definedName>
    <definedName name="_2_??" hidden="1">{#N/A,#N/A,FALSE,"Cover (Japan)";#N/A,#N/A,FALSE,"Index";#N/A,#N/A,FALSE,"Comment sum"}</definedName>
    <definedName name="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14" hidden="1">#REF!</definedName>
    <definedName name="_Dist_Values" localSheetId="7" hidden="1">#REF!</definedName>
    <definedName name="_Dist_Values" localSheetId="17" hidden="1">#REF!</definedName>
    <definedName name="_Dist_Values" localSheetId="20" hidden="1">#REF!</definedName>
    <definedName name="_Dist_Values" localSheetId="18" hidden="1">#REF!</definedName>
    <definedName name="_Dist_Values" localSheetId="23" hidden="1">#REF!</definedName>
    <definedName name="_Dist_Values" localSheetId="19" hidden="1">#REF!</definedName>
    <definedName name="_Dist_Values" localSheetId="28" hidden="1">#REF!</definedName>
    <definedName name="_Dist_Values" localSheetId="27" hidden="1">#REF!</definedName>
    <definedName name="_Dist_Values" localSheetId="29" hidden="1">#REF!</definedName>
    <definedName name="_Dist_Values" localSheetId="30" hidden="1">#REF!</definedName>
    <definedName name="_Dist_Values" hidden="1">#REF!</definedName>
    <definedName name="_Fill" localSheetId="14" hidden="1">#REF!</definedName>
    <definedName name="_Fill" localSheetId="7" hidden="1">#REF!</definedName>
    <definedName name="_Fill" localSheetId="17" hidden="1">#REF!</definedName>
    <definedName name="_Fill" localSheetId="20" hidden="1">#REF!</definedName>
    <definedName name="_Fill" localSheetId="18" hidden="1">#REF!</definedName>
    <definedName name="_Fill" localSheetId="23" hidden="1">#REF!</definedName>
    <definedName name="_Fill" localSheetId="19" hidden="1">#REF!</definedName>
    <definedName name="_Fill" localSheetId="28" hidden="1">#REF!</definedName>
    <definedName name="_Fill" localSheetId="27" hidden="1">#REF!</definedName>
    <definedName name="_Fill" localSheetId="29" hidden="1">#REF!</definedName>
    <definedName name="_Fill" localSheetId="30" hidden="1">#REF!</definedName>
    <definedName name="_Fill" hidden="1">#REF!</definedName>
    <definedName name="_fut2" localSheetId="30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14" hidden="1">[4]UF!#REF!</definedName>
    <definedName name="_Key01" localSheetId="7" hidden="1">[4]UF!#REF!</definedName>
    <definedName name="_Key01" localSheetId="17" hidden="1">[4]UF!#REF!</definedName>
    <definedName name="_Key01" localSheetId="20" hidden="1">[4]UF!#REF!</definedName>
    <definedName name="_Key01" localSheetId="18" hidden="1">[4]UF!#REF!</definedName>
    <definedName name="_Key01" localSheetId="23" hidden="1">[4]UF!#REF!</definedName>
    <definedName name="_Key01" localSheetId="19" hidden="1">[4]UF!#REF!</definedName>
    <definedName name="_Key01" localSheetId="28" hidden="1">[4]UF!#REF!</definedName>
    <definedName name="_Key01" localSheetId="27" hidden="1">[4]UF!#REF!</definedName>
    <definedName name="_Key01" localSheetId="29" hidden="1">[4]UF!#REF!</definedName>
    <definedName name="_Key01" localSheetId="30" hidden="1">[4]UF!#REF!</definedName>
    <definedName name="_Key01" hidden="1">[4]UF!#REF!</definedName>
    <definedName name="_Key1" localSheetId="14" hidden="1">#REF!</definedName>
    <definedName name="_Key1" localSheetId="7" hidden="1">#REF!</definedName>
    <definedName name="_Key1" localSheetId="17" hidden="1">#REF!</definedName>
    <definedName name="_Key1" localSheetId="20" hidden="1">#REF!</definedName>
    <definedName name="_Key1" localSheetId="18" hidden="1">#REF!</definedName>
    <definedName name="_Key1" localSheetId="23" hidden="1">#REF!</definedName>
    <definedName name="_Key1" localSheetId="19" hidden="1">#REF!</definedName>
    <definedName name="_Key1" localSheetId="28" hidden="1">#REF!</definedName>
    <definedName name="_Key1" localSheetId="27" hidden="1">#REF!</definedName>
    <definedName name="_Key1" localSheetId="29" hidden="1">#REF!</definedName>
    <definedName name="_Key1" localSheetId="30" hidden="1">#REF!</definedName>
    <definedName name="_Key1" hidden="1">#REF!</definedName>
    <definedName name="_Key2" localSheetId="14" hidden="1">#REF!</definedName>
    <definedName name="_Key2" localSheetId="7" hidden="1">#REF!</definedName>
    <definedName name="_Key2" localSheetId="17" hidden="1">#REF!</definedName>
    <definedName name="_Key2" localSheetId="20" hidden="1">#REF!</definedName>
    <definedName name="_Key2" localSheetId="18" hidden="1">#REF!</definedName>
    <definedName name="_Key2" localSheetId="23" hidden="1">#REF!</definedName>
    <definedName name="_Key2" localSheetId="19" hidden="1">#REF!</definedName>
    <definedName name="_Key2" localSheetId="28" hidden="1">#REF!</definedName>
    <definedName name="_Key2" localSheetId="27" hidden="1">#REF!</definedName>
    <definedName name="_Key2" localSheetId="29" hidden="1">#REF!</definedName>
    <definedName name="_Key2" localSheetId="30" hidden="1">#REF!</definedName>
    <definedName name="_Key2" hidden="1">#REF!</definedName>
    <definedName name="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14" hidden="1">#REF!</definedName>
    <definedName name="_Parse_Out" localSheetId="7" hidden="1">#REF!</definedName>
    <definedName name="_Parse_Out" localSheetId="17" hidden="1">#REF!</definedName>
    <definedName name="_Parse_Out" localSheetId="20" hidden="1">#REF!</definedName>
    <definedName name="_Parse_Out" localSheetId="18" hidden="1">#REF!</definedName>
    <definedName name="_Parse_Out" localSheetId="23" hidden="1">#REF!</definedName>
    <definedName name="_Parse_Out" localSheetId="19" hidden="1">#REF!</definedName>
    <definedName name="_Parse_Out" localSheetId="28" hidden="1">#REF!</definedName>
    <definedName name="_Parse_Out" localSheetId="27" hidden="1">#REF!</definedName>
    <definedName name="_Parse_Out" localSheetId="29" hidden="1">#REF!</definedName>
    <definedName name="_Parse_Out" localSheetId="30" hidden="1">#REF!</definedName>
    <definedName name="_Parse_Out" hidden="1">#REF!</definedName>
    <definedName name="_PPM1" localSheetId="30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30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localSheetId="30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Sort" localSheetId="14" hidden="1">#REF!</definedName>
    <definedName name="_Sort" localSheetId="7" hidden="1">#REF!</definedName>
    <definedName name="_Sort" localSheetId="17" hidden="1">#REF!</definedName>
    <definedName name="_Sort" localSheetId="20" hidden="1">#REF!</definedName>
    <definedName name="_Sort" localSheetId="18" hidden="1">#REF!</definedName>
    <definedName name="_Sort" localSheetId="23" hidden="1">#REF!</definedName>
    <definedName name="_Sort" localSheetId="19" hidden="1">#REF!</definedName>
    <definedName name="_Sort" localSheetId="28" hidden="1">#REF!</definedName>
    <definedName name="_Sort" localSheetId="27" hidden="1">#REF!</definedName>
    <definedName name="_Sort" localSheetId="29" hidden="1">#REF!</definedName>
    <definedName name="_Sort" localSheetId="30" hidden="1">#REF!</definedName>
    <definedName name="_Sort" hidden="1">#REF!</definedName>
    <definedName name="_Sort01" localSheetId="14" hidden="1">[4]UF!#REF!</definedName>
    <definedName name="_Sort01" localSheetId="7" hidden="1">[4]UF!#REF!</definedName>
    <definedName name="_Sort01" localSheetId="17" hidden="1">[4]UF!#REF!</definedName>
    <definedName name="_Sort01" localSheetId="20" hidden="1">[4]UF!#REF!</definedName>
    <definedName name="_Sort01" localSheetId="18" hidden="1">[4]UF!#REF!</definedName>
    <definedName name="_Sort01" localSheetId="23" hidden="1">[4]UF!#REF!</definedName>
    <definedName name="_Sort01" localSheetId="19" hidden="1">[4]UF!#REF!</definedName>
    <definedName name="_Sort01" localSheetId="28" hidden="1">[4]UF!#REF!</definedName>
    <definedName name="_Sort01" localSheetId="27" hidden="1">[4]UF!#REF!</definedName>
    <definedName name="_Sort01" localSheetId="29" hidden="1">[4]UF!#REF!</definedName>
    <definedName name="_Sort01" localSheetId="30" hidden="1">[4]UF!#REF!</definedName>
    <definedName name="_Sort01" hidden="1">[4]UF!#REF!</definedName>
    <definedName name="_t4" localSheetId="30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localSheetId="3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4">#REF!</definedName>
    <definedName name="aa" localSheetId="7">#REF!</definedName>
    <definedName name="aa" localSheetId="17">#REF!</definedName>
    <definedName name="aa" localSheetId="20">#REF!</definedName>
    <definedName name="aa" localSheetId="18">#REF!</definedName>
    <definedName name="aa" localSheetId="22">#REF!</definedName>
    <definedName name="aa" localSheetId="21">#REF!</definedName>
    <definedName name="aa" localSheetId="23">#REF!</definedName>
    <definedName name="aa" localSheetId="19">#REF!</definedName>
    <definedName name="aa" localSheetId="28">#REF!</definedName>
    <definedName name="aa" localSheetId="27">#REF!</definedName>
    <definedName name="aa" localSheetId="29">#REF!</definedName>
    <definedName name="aa" localSheetId="30">#REF!</definedName>
    <definedName name="aa">#REF!</definedName>
    <definedName name="aaa" localSheetId="14">#REF!</definedName>
    <definedName name="aaa" localSheetId="7">#REF!</definedName>
    <definedName name="aaa" localSheetId="17">#REF!</definedName>
    <definedName name="aaa" localSheetId="20">#REF!</definedName>
    <definedName name="aaa" localSheetId="18">#REF!</definedName>
    <definedName name="aaa" localSheetId="22">#REF!</definedName>
    <definedName name="aaa" localSheetId="21">#REF!</definedName>
    <definedName name="aaa" localSheetId="23">#REF!</definedName>
    <definedName name="aaa" localSheetId="19">#REF!</definedName>
    <definedName name="aaa" localSheetId="28">#REF!</definedName>
    <definedName name="aaa" localSheetId="27">#REF!</definedName>
    <definedName name="aaa" localSheetId="29">#REF!</definedName>
    <definedName name="aaa" localSheetId="30">#REF!</definedName>
    <definedName name="aaa">#REF!</definedName>
    <definedName name="aaaa" localSheetId="14">#REF!</definedName>
    <definedName name="aaaa" localSheetId="7">#REF!</definedName>
    <definedName name="aaaa" localSheetId="17">#REF!</definedName>
    <definedName name="aaaa" localSheetId="20">#REF!</definedName>
    <definedName name="aaaa" localSheetId="18">#REF!</definedName>
    <definedName name="aaaa" localSheetId="22">#REF!</definedName>
    <definedName name="aaaa" localSheetId="21">#REF!</definedName>
    <definedName name="aaaa" localSheetId="23">#REF!</definedName>
    <definedName name="aaaa" localSheetId="19">#REF!</definedName>
    <definedName name="aaaa" localSheetId="28">#REF!</definedName>
    <definedName name="aaaa" localSheetId="27">#REF!</definedName>
    <definedName name="aaaa" localSheetId="29">#REF!</definedName>
    <definedName name="aaaa" localSheetId="30">#REF!</definedName>
    <definedName name="aaaa">#REF!</definedName>
    <definedName name="adfadf" localSheetId="30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GOSTO" localSheetId="30" hidden="1">{"'ICE  Agosto'!$A$60:$A$64","'ICE  Agosto'!$C$67"}</definedName>
    <definedName name="AGOSTO" hidden="1">{"'ICE  Agosto'!$A$60:$A$64","'ICE  Agosto'!$C$67"}</definedName>
    <definedName name="ALE" localSheetId="30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jandrita" localSheetId="30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localSheetId="30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localSheetId="30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1">'activo no corriente 2022 '!$A$1:$J$17</definedName>
    <definedName name="_xlnm.Print_Area" localSheetId="14">'activo no corriente 2023'!$A$1:$J$17</definedName>
    <definedName name="_xlnm.Print_Area" localSheetId="9">'R18 los andes at 2023'!$C$2:$Q$13</definedName>
    <definedName name="_xlnm.Print_Area" localSheetId="28">'R18 los andes at 2024'!$C$2:$Q$13</definedName>
    <definedName name="_xlnm.Print_Area" localSheetId="8">'R19 los andes at 2023'!$C$2:$Q$25</definedName>
    <definedName name="_xlnm.Print_Area" localSheetId="27">'R19 los andes at 2024'!$C$2:$Q$25</definedName>
    <definedName name="_xlnm.Print_Area" localSheetId="10">'rtre los andes at 2023'!$B$1:$AG$113</definedName>
    <definedName name="_xlnm.Print_Area" localSheetId="29">'rtre los andes at 2024'!$B$1:$AG$46</definedName>
    <definedName name="_xlnm.Print_Area" localSheetId="30">'rtre los andes AT 2025'!$B$1:$AJ$94</definedName>
    <definedName name="_xlnm.Print_Area" localSheetId="26">'rtre YYY SAC AT 2024'!$B$1:$AG$43</definedName>
    <definedName name="AS2DocOpenMode" hidden="1">"AS2DocumentEdit"</definedName>
    <definedName name="AS2NamedRange" hidden="1">2</definedName>
    <definedName name="AS2ReportLS" hidden="1">1</definedName>
    <definedName name="AS2StaticLS" localSheetId="14" hidden="1">#REF!</definedName>
    <definedName name="AS2StaticLS" localSheetId="7" hidden="1">#REF!</definedName>
    <definedName name="AS2StaticLS" localSheetId="17" hidden="1">#REF!</definedName>
    <definedName name="AS2StaticLS" localSheetId="20" hidden="1">#REF!</definedName>
    <definedName name="AS2StaticLS" localSheetId="18" hidden="1">#REF!</definedName>
    <definedName name="AS2StaticLS" localSheetId="23" hidden="1">#REF!</definedName>
    <definedName name="AS2StaticLS" localSheetId="19" hidden="1">#REF!</definedName>
    <definedName name="AS2StaticLS" localSheetId="28" hidden="1">#REF!</definedName>
    <definedName name="AS2StaticLS" localSheetId="27" hidden="1">#REF!</definedName>
    <definedName name="AS2StaticLS" localSheetId="29" hidden="1">#REF!</definedName>
    <definedName name="AS2StaticLS" localSheetId="30" hidden="1">#REF!</definedName>
    <definedName name="AS2StaticLS" hidden="1">#REF!</definedName>
    <definedName name="AS2SyncStepLS" hidden="1">0</definedName>
    <definedName name="AS2TickmarkLS" localSheetId="14" hidden="1">#REF!</definedName>
    <definedName name="AS2TickmarkLS" localSheetId="7" hidden="1">#REF!</definedName>
    <definedName name="AS2TickmarkLS" localSheetId="17" hidden="1">#REF!</definedName>
    <definedName name="AS2TickmarkLS" localSheetId="20" hidden="1">#REF!</definedName>
    <definedName name="AS2TickmarkLS" localSheetId="18" hidden="1">#REF!</definedName>
    <definedName name="AS2TickmarkLS" localSheetId="23" hidden="1">#REF!</definedName>
    <definedName name="AS2TickmarkLS" localSheetId="19" hidden="1">#REF!</definedName>
    <definedName name="AS2TickmarkLS" localSheetId="28" hidden="1">#REF!</definedName>
    <definedName name="AS2TickmarkLS" localSheetId="27" hidden="1">#REF!</definedName>
    <definedName name="AS2TickmarkLS" localSheetId="29" hidden="1">#REF!</definedName>
    <definedName name="AS2TickmarkLS" localSheetId="30" hidden="1">#REF!</definedName>
    <definedName name="AS2TickmarkLS" hidden="1">#REF!</definedName>
    <definedName name="AS2VersionLS" hidden="1">300</definedName>
    <definedName name="asdad" localSheetId="30" hidden="1">{#N/A,#N/A,FALSE,"Aging Summary";#N/A,#N/A,FALSE,"Ratio Analysis";#N/A,#N/A,FALSE,"Test 120 Day Accts";#N/A,#N/A,FALSE,"Tickmarks"}</definedName>
    <definedName name="asdad" hidden="1">{#N/A,#N/A,FALSE,"Aging Summary";#N/A,#N/A,FALSE,"Ratio Analysis";#N/A,#N/A,FALSE,"Test 120 Day Accts";#N/A,#N/A,FALSE,"Tickmarks"}</definedName>
    <definedName name="asdaqsd" localSheetId="30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30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localSheetId="30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30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localSheetId="30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P1B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[5]definiciones!$G$1:$G$35</definedName>
    <definedName name="casa" localSheetId="14">#REF!</definedName>
    <definedName name="casa" localSheetId="7">#REF!</definedName>
    <definedName name="casa" localSheetId="17">#REF!</definedName>
    <definedName name="casa" localSheetId="20">#REF!</definedName>
    <definedName name="casa" localSheetId="12">#REF!</definedName>
    <definedName name="casa" localSheetId="18">#REF!</definedName>
    <definedName name="casa" localSheetId="25">#REF!</definedName>
    <definedName name="casa" localSheetId="22">#REF!</definedName>
    <definedName name="casa" localSheetId="21">#REF!</definedName>
    <definedName name="casa" localSheetId="23">#REF!</definedName>
    <definedName name="casa" localSheetId="19">#REF!</definedName>
    <definedName name="casa" localSheetId="28">#REF!</definedName>
    <definedName name="casa" localSheetId="27">#REF!</definedName>
    <definedName name="casa" localSheetId="29">#REF!</definedName>
    <definedName name="casa" localSheetId="30">#REF!</definedName>
    <definedName name="casa" localSheetId="26">#REF!</definedName>
    <definedName name="casa">#REF!</definedName>
    <definedName name="CBDDSDSGSE" localSheetId="14">#REF!</definedName>
    <definedName name="CBDDSDSGSE" localSheetId="7">#REF!</definedName>
    <definedName name="CBDDSDSGSE" localSheetId="17">#REF!</definedName>
    <definedName name="CBDDSDSGSE" localSheetId="20">#REF!</definedName>
    <definedName name="CBDDSDSGSE" localSheetId="5">#REF!</definedName>
    <definedName name="CBDDSDSGSE" localSheetId="18">#REF!</definedName>
    <definedName name="CBDDSDSGSE" localSheetId="25">#REF!</definedName>
    <definedName name="CBDDSDSGSE" localSheetId="22">#REF!</definedName>
    <definedName name="CBDDSDSGSE" localSheetId="21">#REF!</definedName>
    <definedName name="CBDDSDSGSE" localSheetId="23">#REF!</definedName>
    <definedName name="CBDDSDSGSE" localSheetId="19">#REF!</definedName>
    <definedName name="CBDDSDSGSE" localSheetId="28">#REF!</definedName>
    <definedName name="CBDDSDSGSE" localSheetId="27">#REF!</definedName>
    <definedName name="CBDDSDSGSE" localSheetId="29">#REF!</definedName>
    <definedName name="CBDDSDSGSE" localSheetId="30">#REF!</definedName>
    <definedName name="CBDDSDSGSE">#REF!</definedName>
    <definedName name="CC" localSheetId="14">#REF!</definedName>
    <definedName name="CC" localSheetId="7">#REF!</definedName>
    <definedName name="CC" localSheetId="17">#REF!</definedName>
    <definedName name="CC" localSheetId="20">#REF!</definedName>
    <definedName name="CC" localSheetId="5">#REF!</definedName>
    <definedName name="CC" localSheetId="18">#REF!</definedName>
    <definedName name="CC" localSheetId="25">#REF!</definedName>
    <definedName name="CC" localSheetId="22">#REF!</definedName>
    <definedName name="CC" localSheetId="21">#REF!</definedName>
    <definedName name="CC" localSheetId="23">#REF!</definedName>
    <definedName name="CC" localSheetId="19">#REF!</definedName>
    <definedName name="CC" localSheetId="28">#REF!</definedName>
    <definedName name="CC" localSheetId="27">#REF!</definedName>
    <definedName name="CC" localSheetId="29">#REF!</definedName>
    <definedName name="CC" localSheetId="30">#REF!</definedName>
    <definedName name="CC">#REF!</definedName>
    <definedName name="CCCC" localSheetId="14">[6]bien!#REF!</definedName>
    <definedName name="CCCC" localSheetId="7">[6]bien!#REF!</definedName>
    <definedName name="CCCC" localSheetId="17">[6]bien!#REF!</definedName>
    <definedName name="CCCC" localSheetId="20">[6]bien!#REF!</definedName>
    <definedName name="CCCC" localSheetId="5">[6]bien!#REF!</definedName>
    <definedName name="CCCC" localSheetId="18">[6]bien!#REF!</definedName>
    <definedName name="CCCC" localSheetId="25">[6]bien!#REF!</definedName>
    <definedName name="CCCC" localSheetId="22">[6]bien!#REF!</definedName>
    <definedName name="CCCC" localSheetId="21">[6]bien!#REF!</definedName>
    <definedName name="CCCC" localSheetId="23">[6]bien!#REF!</definedName>
    <definedName name="CCCC" localSheetId="19">[6]bien!#REF!</definedName>
    <definedName name="CCCC" localSheetId="28">[6]bien!#REF!</definedName>
    <definedName name="CCCC" localSheetId="27">[6]bien!#REF!</definedName>
    <definedName name="CCCC" localSheetId="29">[6]bien!#REF!</definedName>
    <definedName name="CCCC" localSheetId="30">[6]bien!#REF!</definedName>
    <definedName name="CCCC">[6]bien!#REF!</definedName>
    <definedName name="CCCCC" localSheetId="1">[6]bien!#REF!</definedName>
    <definedName name="CCCCC" localSheetId="14">[6]bien!#REF!</definedName>
    <definedName name="CCCCC" localSheetId="3">[6]bien!#REF!</definedName>
    <definedName name="CCCCC" localSheetId="7">[6]bien!#REF!</definedName>
    <definedName name="CCCCC" localSheetId="0">[6]bien!#REF!</definedName>
    <definedName name="CCCCC" localSheetId="17">[6]bien!#REF!</definedName>
    <definedName name="CCCCC" localSheetId="20">[6]bien!#REF!</definedName>
    <definedName name="CCCCC" localSheetId="5">[6]bien!#REF!</definedName>
    <definedName name="CCCCC" localSheetId="18">[6]bien!#REF!</definedName>
    <definedName name="CCCCC" localSheetId="25">[6]bien!#REF!</definedName>
    <definedName name="CCCCC" localSheetId="22">[6]bien!#REF!</definedName>
    <definedName name="CCCCC" localSheetId="21">[6]bien!#REF!</definedName>
    <definedName name="CCCCC" localSheetId="23">[6]bien!#REF!</definedName>
    <definedName name="CCCCC" localSheetId="13">[6]bien!#REF!</definedName>
    <definedName name="CCCCC" localSheetId="19">[6]bien!#REF!</definedName>
    <definedName name="CCCCC" localSheetId="28">[6]bien!#REF!</definedName>
    <definedName name="CCCCC" localSheetId="27">[6]bien!#REF!</definedName>
    <definedName name="CCCCC" localSheetId="29">[6]bien!#REF!</definedName>
    <definedName name="CCCCC" localSheetId="30">[6]bien!#REF!</definedName>
    <definedName name="CCCCC">[6]bien!#REF!</definedName>
    <definedName name="CERTIFICADO" localSheetId="14">#REF!</definedName>
    <definedName name="CERTIFICADO" localSheetId="7">#REF!</definedName>
    <definedName name="CERTIFICADO" localSheetId="17">#REF!</definedName>
    <definedName name="CERTIFICADO" localSheetId="20">#REF!</definedName>
    <definedName name="CERTIFICADO" localSheetId="12">#REF!</definedName>
    <definedName name="CERTIFICADO" localSheetId="18">#REF!</definedName>
    <definedName name="CERTIFICADO" localSheetId="25">#REF!</definedName>
    <definedName name="CERTIFICADO" localSheetId="22">#REF!</definedName>
    <definedName name="CERTIFICADO" localSheetId="21">#REF!</definedName>
    <definedName name="CERTIFICADO" localSheetId="23">#REF!</definedName>
    <definedName name="CERTIFICADO" localSheetId="19">#REF!</definedName>
    <definedName name="CERTIFICADO" localSheetId="28">#REF!</definedName>
    <definedName name="CERTIFICADO" localSheetId="27">#REF!</definedName>
    <definedName name="CERTIFICADO" localSheetId="29">#REF!</definedName>
    <definedName name="CERTIFICADO" localSheetId="30">#REF!</definedName>
    <definedName name="CERTIFICADO" localSheetId="26">#REF!</definedName>
    <definedName name="CERTIFICADO">#REF!</definedName>
    <definedName name="claud" localSheetId="30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olor">[5]definiciones!$B$2:$B$3</definedName>
    <definedName name="CPF" localSheetId="30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T" localSheetId="30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localSheetId="30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localSheetId="30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30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30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14">#REF!</definedName>
    <definedName name="DD" localSheetId="7">#REF!</definedName>
    <definedName name="DD" localSheetId="17">#REF!</definedName>
    <definedName name="DD" localSheetId="20">#REF!</definedName>
    <definedName name="DD" localSheetId="5">#REF!</definedName>
    <definedName name="DD" localSheetId="18">#REF!</definedName>
    <definedName name="DD" localSheetId="25">#REF!</definedName>
    <definedName name="DD" localSheetId="22">#REF!</definedName>
    <definedName name="DD" localSheetId="21">#REF!</definedName>
    <definedName name="DD" localSheetId="23">#REF!</definedName>
    <definedName name="DD" localSheetId="19">#REF!</definedName>
    <definedName name="DD" localSheetId="28">#REF!</definedName>
    <definedName name="DD" localSheetId="27">#REF!</definedName>
    <definedName name="DD" localSheetId="29">#REF!</definedName>
    <definedName name="DD" localSheetId="30">#REF!</definedName>
    <definedName name="DD">#REF!</definedName>
    <definedName name="DDD" localSheetId="3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d" localSheetId="3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localSheetId="3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14">#REF!</definedName>
    <definedName name="DFF" localSheetId="7">#REF!</definedName>
    <definedName name="DFF" localSheetId="17">#REF!</definedName>
    <definedName name="DFF" localSheetId="20">#REF!</definedName>
    <definedName name="DFF" localSheetId="5">#REF!</definedName>
    <definedName name="DFF" localSheetId="18">#REF!</definedName>
    <definedName name="DFF" localSheetId="25">#REF!</definedName>
    <definedName name="DFF" localSheetId="22">#REF!</definedName>
    <definedName name="DFF" localSheetId="21">#REF!</definedName>
    <definedName name="DFF" localSheetId="23">#REF!</definedName>
    <definedName name="DFF" localSheetId="19">#REF!</definedName>
    <definedName name="DFF" localSheetId="28">#REF!</definedName>
    <definedName name="DFF" localSheetId="27">#REF!</definedName>
    <definedName name="DFF" localSheetId="29">#REF!</definedName>
    <definedName name="DFF" localSheetId="30">#REF!</definedName>
    <definedName name="DFF">#REF!</definedName>
    <definedName name="DFFFD" localSheetId="14">#REF!</definedName>
    <definedName name="DFFFD" localSheetId="7">#REF!</definedName>
    <definedName name="DFFFD" localSheetId="17">#REF!</definedName>
    <definedName name="DFFFD" localSheetId="20">#REF!</definedName>
    <definedName name="DFFFD" localSheetId="5">#REF!</definedName>
    <definedName name="DFFFD" localSheetId="18">#REF!</definedName>
    <definedName name="DFFFD" localSheetId="25">#REF!</definedName>
    <definedName name="DFFFD" localSheetId="22">#REF!</definedName>
    <definedName name="DFFFD" localSheetId="21">#REF!</definedName>
    <definedName name="DFFFD" localSheetId="23">#REF!</definedName>
    <definedName name="DFFFD" localSheetId="19">#REF!</definedName>
    <definedName name="DFFFD" localSheetId="28">#REF!</definedName>
    <definedName name="DFFFD" localSheetId="27">#REF!</definedName>
    <definedName name="DFFFD" localSheetId="29">#REF!</definedName>
    <definedName name="DFFFD" localSheetId="30">#REF!</definedName>
    <definedName name="DFFFD">#REF!</definedName>
    <definedName name="DFG" localSheetId="14" hidden="1">#REF!</definedName>
    <definedName name="DFG" localSheetId="7" hidden="1">#REF!</definedName>
    <definedName name="DFG" localSheetId="17" hidden="1">#REF!</definedName>
    <definedName name="DFG" localSheetId="20" hidden="1">#REF!</definedName>
    <definedName name="DFG" localSheetId="18" hidden="1">#REF!</definedName>
    <definedName name="DFG" localSheetId="23" hidden="1">#REF!</definedName>
    <definedName name="DFG" localSheetId="19" hidden="1">#REF!</definedName>
    <definedName name="DFG" localSheetId="28" hidden="1">#REF!</definedName>
    <definedName name="DFG" localSheetId="27" hidden="1">#REF!</definedName>
    <definedName name="DFG" localSheetId="29" hidden="1">#REF!</definedName>
    <definedName name="DFG" localSheetId="30" hidden="1">#REF!</definedName>
    <definedName name="DFG" hidden="1">#REF!</definedName>
    <definedName name="DIF" localSheetId="30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usdis" localSheetId="30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localSheetId="30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14">#REF!</definedName>
    <definedName name="DOS" localSheetId="3">#REF!</definedName>
    <definedName name="DOS" localSheetId="7">#REF!</definedName>
    <definedName name="DOS" localSheetId="0">#REF!</definedName>
    <definedName name="DOS" localSheetId="17">#REF!</definedName>
    <definedName name="DOS" localSheetId="20">#REF!</definedName>
    <definedName name="DOS" localSheetId="5">#REF!</definedName>
    <definedName name="DOS" localSheetId="18">#REF!</definedName>
    <definedName name="DOS" localSheetId="25">#REF!</definedName>
    <definedName name="DOS" localSheetId="22">#REF!</definedName>
    <definedName name="DOS" localSheetId="21">#REF!</definedName>
    <definedName name="DOS" localSheetId="23">#REF!</definedName>
    <definedName name="DOS" localSheetId="13">#REF!</definedName>
    <definedName name="DOS" localSheetId="19">#REF!</definedName>
    <definedName name="DOS" localSheetId="28">#REF!</definedName>
    <definedName name="DOS" localSheetId="27">#REF!</definedName>
    <definedName name="DOS" localSheetId="29">#REF!</definedName>
    <definedName name="DOS" localSheetId="30">#REF!</definedName>
    <definedName name="DOS">#REF!</definedName>
    <definedName name="EBITYTDBud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14">#REF!</definedName>
    <definedName name="EDEE" localSheetId="7">#REF!</definedName>
    <definedName name="EDEE" localSheetId="17">#REF!</definedName>
    <definedName name="EDEE" localSheetId="20">#REF!</definedName>
    <definedName name="EDEE" localSheetId="5">#REF!</definedName>
    <definedName name="EDEE" localSheetId="18">#REF!</definedName>
    <definedName name="EDEE" localSheetId="25">#REF!</definedName>
    <definedName name="EDEE" localSheetId="22">#REF!</definedName>
    <definedName name="EDEE" localSheetId="21">#REF!</definedName>
    <definedName name="EDEE" localSheetId="23">#REF!</definedName>
    <definedName name="EDEE" localSheetId="19">#REF!</definedName>
    <definedName name="EDEE" localSheetId="28">#REF!</definedName>
    <definedName name="EDEE" localSheetId="27">#REF!</definedName>
    <definedName name="EDEE" localSheetId="29">#REF!</definedName>
    <definedName name="EDEE" localSheetId="30">#REF!</definedName>
    <definedName name="EDEE">#REF!</definedName>
    <definedName name="ee" localSheetId="30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ee" localSheetId="30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localSheetId="30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localSheetId="3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localSheetId="30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1">#REF!</definedName>
    <definedName name="Excel_BuiltIn_Print_Area_2_1" localSheetId="14">#REF!</definedName>
    <definedName name="Excel_BuiltIn_Print_Area_2_1" localSheetId="3">#REF!</definedName>
    <definedName name="Excel_BuiltIn_Print_Area_2_1" localSheetId="7">#REF!</definedName>
    <definedName name="Excel_BuiltIn_Print_Area_2_1" localSheetId="0">#REF!</definedName>
    <definedName name="Excel_BuiltIn_Print_Area_2_1" localSheetId="17">#REF!</definedName>
    <definedName name="Excel_BuiltIn_Print_Area_2_1" localSheetId="20">#REF!</definedName>
    <definedName name="Excel_BuiltIn_Print_Area_2_1" localSheetId="5">#REF!</definedName>
    <definedName name="Excel_BuiltIn_Print_Area_2_1" localSheetId="18">#REF!</definedName>
    <definedName name="Excel_BuiltIn_Print_Area_2_1" localSheetId="25">#REF!</definedName>
    <definedName name="Excel_BuiltIn_Print_Area_2_1" localSheetId="23">#REF!</definedName>
    <definedName name="Excel_BuiltIn_Print_Area_2_1" localSheetId="13">#REF!</definedName>
    <definedName name="Excel_BuiltIn_Print_Area_2_1" localSheetId="19">#REF!</definedName>
    <definedName name="Excel_BuiltIn_Print_Area_2_1" localSheetId="28">#REF!</definedName>
    <definedName name="Excel_BuiltIn_Print_Area_2_1" localSheetId="27">#REF!</definedName>
    <definedName name="Excel_BuiltIn_Print_Area_2_1" localSheetId="29">#REF!</definedName>
    <definedName name="Excel_BuiltIn_Print_Area_2_1" localSheetId="30">#REF!</definedName>
    <definedName name="Excel_BuiltIn_Print_Area_2_1">#REF!</definedName>
    <definedName name="eXHD" localSheetId="3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'[6]calculos planilla'!$A$2:$M$134</definedName>
    <definedName name="fdf" localSheetId="30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echa">[6]bien!$F$8</definedName>
    <definedName name="fecha_act" localSheetId="1">[6]bien!#REF!</definedName>
    <definedName name="fecha_act" localSheetId="14">[6]bien!#REF!</definedName>
    <definedName name="fecha_act" localSheetId="3">[6]bien!#REF!</definedName>
    <definedName name="fecha_act" localSheetId="7">[6]bien!#REF!</definedName>
    <definedName name="fecha_act" localSheetId="0">[6]bien!#REF!</definedName>
    <definedName name="fecha_act" localSheetId="17">[6]bien!#REF!</definedName>
    <definedName name="fecha_act" localSheetId="20">[6]bien!#REF!</definedName>
    <definedName name="fecha_act" localSheetId="5">[6]bien!#REF!</definedName>
    <definedName name="fecha_act" localSheetId="18">[6]bien!#REF!</definedName>
    <definedName name="fecha_act" localSheetId="25">[6]bien!#REF!</definedName>
    <definedName name="fecha_act" localSheetId="22">[6]bien!#REF!</definedName>
    <definedName name="fecha_act" localSheetId="21">[6]bien!#REF!</definedName>
    <definedName name="fecha_act" localSheetId="23">[6]bien!#REF!</definedName>
    <definedName name="fecha_act" localSheetId="13">[6]bien!#REF!</definedName>
    <definedName name="fecha_act" localSheetId="19">[6]bien!#REF!</definedName>
    <definedName name="fecha_act" localSheetId="28">[6]bien!#REF!</definedName>
    <definedName name="fecha_act" localSheetId="27">[6]bien!#REF!</definedName>
    <definedName name="fecha_act" localSheetId="29">[6]bien!#REF!</definedName>
    <definedName name="fecha_act" localSheetId="30">[6]bien!#REF!</definedName>
    <definedName name="fecha_act">[6]bien!#REF!</definedName>
    <definedName name="feo" localSheetId="30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F" localSheetId="14">#REF!</definedName>
    <definedName name="FF" localSheetId="7">#REF!</definedName>
    <definedName name="FF" localSheetId="17">#REF!</definedName>
    <definedName name="FF" localSheetId="20">#REF!</definedName>
    <definedName name="FF" localSheetId="5">#REF!</definedName>
    <definedName name="FF" localSheetId="18">#REF!</definedName>
    <definedName name="FF" localSheetId="25">#REF!</definedName>
    <definedName name="FF" localSheetId="22">#REF!</definedName>
    <definedName name="FF" localSheetId="21">#REF!</definedName>
    <definedName name="FF" localSheetId="23">#REF!</definedName>
    <definedName name="FF" localSheetId="19">#REF!</definedName>
    <definedName name="FF" localSheetId="28">#REF!</definedName>
    <definedName name="FF" localSheetId="27">#REF!</definedName>
    <definedName name="FF" localSheetId="29">#REF!</definedName>
    <definedName name="FF" localSheetId="30">#REF!</definedName>
    <definedName name="FF">#REF!</definedName>
    <definedName name="FFF" localSheetId="14">#REF!</definedName>
    <definedName name="FFF" localSheetId="7">#REF!</definedName>
    <definedName name="FFF" localSheetId="17">#REF!</definedName>
    <definedName name="FFF" localSheetId="20">#REF!</definedName>
    <definedName name="FFF" localSheetId="5">#REF!</definedName>
    <definedName name="FFF" localSheetId="18">#REF!</definedName>
    <definedName name="FFF" localSheetId="25">#REF!</definedName>
    <definedName name="FFF" localSheetId="22">#REF!</definedName>
    <definedName name="FFF" localSheetId="21">#REF!</definedName>
    <definedName name="FFF" localSheetId="23">#REF!</definedName>
    <definedName name="FFF" localSheetId="19">#REF!</definedName>
    <definedName name="FFF" localSheetId="28">#REF!</definedName>
    <definedName name="FFF" localSheetId="27">#REF!</definedName>
    <definedName name="FFF" localSheetId="29">#REF!</definedName>
    <definedName name="FFF" localSheetId="30">#REF!</definedName>
    <definedName name="FFF">#REF!</definedName>
    <definedName name="FFFF" localSheetId="14">[6]bien!#REF!</definedName>
    <definedName name="FFFF" localSheetId="7">[6]bien!#REF!</definedName>
    <definedName name="FFFF" localSheetId="17">[6]bien!#REF!</definedName>
    <definedName name="FFFF" localSheetId="20">[6]bien!#REF!</definedName>
    <definedName name="FFFF" localSheetId="5">[6]bien!#REF!</definedName>
    <definedName name="FFFF" localSheetId="18">[6]bien!#REF!</definedName>
    <definedName name="FFFF" localSheetId="25">[6]bien!#REF!</definedName>
    <definedName name="FFFF" localSheetId="22">[6]bien!#REF!</definedName>
    <definedName name="FFFF" localSheetId="21">[6]bien!#REF!</definedName>
    <definedName name="FFFF" localSheetId="23">[6]bien!#REF!</definedName>
    <definedName name="FFFF" localSheetId="19">[6]bien!#REF!</definedName>
    <definedName name="FFFF" localSheetId="28">[6]bien!#REF!</definedName>
    <definedName name="FFFF" localSheetId="27">[6]bien!#REF!</definedName>
    <definedName name="FFFF" localSheetId="29">[6]bien!#REF!</definedName>
    <definedName name="FFFF" localSheetId="30">[6]bien!#REF!</definedName>
    <definedName name="FFFF">[6]bien!#REF!</definedName>
    <definedName name="fondos" localSheetId="7">[5]definiciones!#REF!</definedName>
    <definedName name="fondos" localSheetId="20">[5]definiciones!#REF!</definedName>
    <definedName name="fondos" localSheetId="18">[5]definiciones!#REF!</definedName>
    <definedName name="fondos" localSheetId="23">[5]definiciones!#REF!</definedName>
    <definedName name="fondos" localSheetId="19">[5]definiciones!#REF!</definedName>
    <definedName name="fondos" localSheetId="28">[5]definiciones!#REF!</definedName>
    <definedName name="fondos" localSheetId="27">[5]definiciones!#REF!</definedName>
    <definedName name="fondos" localSheetId="29">[5]definiciones!#REF!</definedName>
    <definedName name="fondos">[5]definiciones!#REF!</definedName>
    <definedName name="formato">[5]definiciones!$D$2:$D$5</definedName>
    <definedName name="FUT_2000" localSheetId="30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g" localSheetId="14">#REF!</definedName>
    <definedName name="g" localSheetId="7">#REF!</definedName>
    <definedName name="g" localSheetId="17">#REF!</definedName>
    <definedName name="g" localSheetId="20">#REF!</definedName>
    <definedName name="g" localSheetId="12">#REF!</definedName>
    <definedName name="g" localSheetId="18">#REF!</definedName>
    <definedName name="g" localSheetId="25">#REF!</definedName>
    <definedName name="g" localSheetId="22">#REF!</definedName>
    <definedName name="g" localSheetId="21">#REF!</definedName>
    <definedName name="g" localSheetId="23">#REF!</definedName>
    <definedName name="g" localSheetId="19">#REF!</definedName>
    <definedName name="g" localSheetId="28">#REF!</definedName>
    <definedName name="g" localSheetId="27">#REF!</definedName>
    <definedName name="g" localSheetId="29">#REF!</definedName>
    <definedName name="g" localSheetId="30">#REF!</definedName>
    <definedName name="g" localSheetId="26">#REF!</definedName>
    <definedName name="g">#REF!</definedName>
    <definedName name="Gasto_Fijo__GF" localSheetId="14">'[7]BD Compras'!#REF!</definedName>
    <definedName name="Gasto_Fijo__GF" localSheetId="7">'[7]BD Compras'!#REF!</definedName>
    <definedName name="Gasto_Fijo__GF" localSheetId="17">'[7]BD Compras'!#REF!</definedName>
    <definedName name="Gasto_Fijo__GF" localSheetId="20">'[7]BD Compras'!#REF!</definedName>
    <definedName name="Gasto_Fijo__GF" localSheetId="18">'[7]BD Compras'!#REF!</definedName>
    <definedName name="Gasto_Fijo__GF" localSheetId="23">'[7]BD Compras'!#REF!</definedName>
    <definedName name="Gasto_Fijo__GF" localSheetId="19">'[7]BD Compras'!#REF!</definedName>
    <definedName name="Gasto_Fijo__GF" localSheetId="28">'[7]BD Compras'!#REF!</definedName>
    <definedName name="Gasto_Fijo__GF" localSheetId="27">'[7]BD Compras'!#REF!</definedName>
    <definedName name="Gasto_Fijo__GF" localSheetId="29">'[7]BD Compras'!#REF!</definedName>
    <definedName name="Gasto_Fijo__GF" localSheetId="30">'[7]BD Compras'!#REF!</definedName>
    <definedName name="Gasto_Fijo__GF">'[7]BD Compras'!#REF!</definedName>
    <definedName name="GC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30" hidden="1">{"'ICE  Agosto'!$A$60:$A$64","'ICE  Agosto'!$C$67"}</definedName>
    <definedName name="gg" hidden="1">{"'ICE  Agosto'!$A$60:$A$64","'ICE  Agosto'!$C$67"}</definedName>
    <definedName name="ｇｇ" localSheetId="30" hidden="1">{#N/A,#N/A,FALSE,"Cover (Japan)";#N/A,#N/A,FALSE,"Index";#N/A,#N/A,FALSE,"Comment sum"}</definedName>
    <definedName name="ｇｇ" hidden="1">{#N/A,#N/A,FALSE,"Cover (Japan)";#N/A,#N/A,FALSE,"Index";#N/A,#N/A,FALSE,"Comment sum"}</definedName>
    <definedName name="ggg" localSheetId="14">#REF!</definedName>
    <definedName name="ggg" localSheetId="7">#REF!</definedName>
    <definedName name="ggg" localSheetId="17">#REF!</definedName>
    <definedName name="ggg" localSheetId="20">#REF!</definedName>
    <definedName name="ggg" localSheetId="18">#REF!</definedName>
    <definedName name="ggg" localSheetId="23">#REF!</definedName>
    <definedName name="ggg" localSheetId="19">#REF!</definedName>
    <definedName name="ggg" localSheetId="28">#REF!</definedName>
    <definedName name="ggg" localSheetId="27">#REF!</definedName>
    <definedName name="ggg" localSheetId="29">#REF!</definedName>
    <definedName name="ggg" localSheetId="30">#REF!</definedName>
    <definedName name="ggg">#REF!</definedName>
    <definedName name="gggggggggggggggggggggggggg" localSheetId="30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uion">[5]definiciones!$F$2:$F$3</definedName>
    <definedName name="GVKey">""</definedName>
    <definedName name="GVV" localSheetId="30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h" localSheetId="30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14">#REF!</definedName>
    <definedName name="HGHHH" localSheetId="7">#REF!</definedName>
    <definedName name="HGHHH" localSheetId="17">#REF!</definedName>
    <definedName name="HGHHH" localSheetId="20">#REF!</definedName>
    <definedName name="HGHHH" localSheetId="5">#REF!</definedName>
    <definedName name="HGHHH" localSheetId="18">#REF!</definedName>
    <definedName name="HGHHH" localSheetId="25">#REF!</definedName>
    <definedName name="HGHHH" localSheetId="22">#REF!</definedName>
    <definedName name="HGHHH" localSheetId="21">#REF!</definedName>
    <definedName name="HGHHH" localSheetId="23">#REF!</definedName>
    <definedName name="HGHHH" localSheetId="19">#REF!</definedName>
    <definedName name="HGHHH" localSheetId="28">#REF!</definedName>
    <definedName name="HGHHH" localSheetId="27">#REF!</definedName>
    <definedName name="HGHHH" localSheetId="29">#REF!</definedName>
    <definedName name="HGHHH" localSheetId="30">#REF!</definedName>
    <definedName name="HGHHH">#REF!</definedName>
    <definedName name="hhh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14">#REF!</definedName>
    <definedName name="HHHH" localSheetId="7">#REF!</definedName>
    <definedName name="HHHH" localSheetId="17">#REF!</definedName>
    <definedName name="HHHH" localSheetId="20">#REF!</definedName>
    <definedName name="HHHH" localSheetId="5">#REF!</definedName>
    <definedName name="HHHH" localSheetId="18">#REF!</definedName>
    <definedName name="HHHH" localSheetId="25">#REF!</definedName>
    <definedName name="HHHH" localSheetId="22">#REF!</definedName>
    <definedName name="HHHH" localSheetId="21">#REF!</definedName>
    <definedName name="HHHH" localSheetId="23">#REF!</definedName>
    <definedName name="HHHH" localSheetId="19">#REF!</definedName>
    <definedName name="HHHH" localSheetId="28">#REF!</definedName>
    <definedName name="HHHH" localSheetId="27">#REF!</definedName>
    <definedName name="HHHH" localSheetId="29">#REF!</definedName>
    <definedName name="HHHH" localSheetId="30">#REF!</definedName>
    <definedName name="HHHH">#REF!</definedName>
    <definedName name="hhhhh" localSheetId="30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jjkjkj" localSheetId="30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localSheetId="30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localSheetId="30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[6]bien!$F$11</definedName>
    <definedName name="hj" localSheetId="30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KKKKK" localSheetId="30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localSheetId="30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localSheetId="30" hidden="1">{"'ICE  Agosto'!$A$60:$A$64","'ICE  Agosto'!$C$67"}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localSheetId="30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i" localSheetId="3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localSheetId="30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localSheetId="30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localSheetId="30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localSheetId="30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localSheetId="30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localSheetId="30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localSheetId="30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14">'[7]BD Compras'!#REF!</definedName>
    <definedName name="Industrial__I" localSheetId="7">'[7]BD Compras'!#REF!</definedName>
    <definedName name="Industrial__I" localSheetId="17">'[7]BD Compras'!#REF!</definedName>
    <definedName name="Industrial__I" localSheetId="20">'[7]BD Compras'!#REF!</definedName>
    <definedName name="Industrial__I" localSheetId="18">'[7]BD Compras'!#REF!</definedName>
    <definedName name="Industrial__I" localSheetId="23">'[7]BD Compras'!#REF!</definedName>
    <definedName name="Industrial__I" localSheetId="19">'[7]BD Compras'!#REF!</definedName>
    <definedName name="Industrial__I" localSheetId="28">'[7]BD Compras'!#REF!</definedName>
    <definedName name="Industrial__I" localSheetId="27">'[7]BD Compras'!#REF!</definedName>
    <definedName name="Industrial__I" localSheetId="29">'[7]BD Compras'!#REF!</definedName>
    <definedName name="Industrial__I" localSheetId="30">'[7]BD Compras'!#REF!</definedName>
    <definedName name="Industrial__I">'[7]BD Compras'!#REF!</definedName>
    <definedName name="inicial">'[6]calculos planilla'!$S$3:$U$14</definedName>
    <definedName name="insumos" localSheetId="14" hidden="1">#REF!</definedName>
    <definedName name="insumos" localSheetId="7" hidden="1">#REF!</definedName>
    <definedName name="insumos" localSheetId="17" hidden="1">#REF!</definedName>
    <definedName name="insumos" localSheetId="20" hidden="1">#REF!</definedName>
    <definedName name="insumos" localSheetId="18" hidden="1">#REF!</definedName>
    <definedName name="insumos" localSheetId="23" hidden="1">#REF!</definedName>
    <definedName name="insumos" localSheetId="19" hidden="1">#REF!</definedName>
    <definedName name="insumos" localSheetId="28" hidden="1">#REF!</definedName>
    <definedName name="insumos" localSheetId="27" hidden="1">#REF!</definedName>
    <definedName name="insumos" localSheetId="29" hidden="1">#REF!</definedName>
    <definedName name="insumos" localSheetId="30" hidden="1">#REF!</definedName>
    <definedName name="insumos" hidden="1">#REF!</definedName>
    <definedName name="Inv" localSheetId="30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ERSION" localSheetId="1">#REF!</definedName>
    <definedName name="INVERSION" localSheetId="14">#REF!</definedName>
    <definedName name="INVERSION" localSheetId="3">#REF!</definedName>
    <definedName name="INVERSION" localSheetId="7">#REF!</definedName>
    <definedName name="INVERSION" localSheetId="0">#REF!</definedName>
    <definedName name="INVERSION" localSheetId="17">#REF!</definedName>
    <definedName name="INVERSION" localSheetId="20">#REF!</definedName>
    <definedName name="INVERSION" localSheetId="5">#REF!</definedName>
    <definedName name="INVERSION" localSheetId="18">#REF!</definedName>
    <definedName name="INVERSION" localSheetId="25">#REF!</definedName>
    <definedName name="INVERSION" localSheetId="22">#REF!</definedName>
    <definedName name="INVERSION" localSheetId="21">#REF!</definedName>
    <definedName name="INVERSION" localSheetId="23">#REF!</definedName>
    <definedName name="INVERSION" localSheetId="13">#REF!</definedName>
    <definedName name="INVERSION" localSheetId="19">#REF!</definedName>
    <definedName name="INVERSION" localSheetId="9">#REF!</definedName>
    <definedName name="INVERSION" localSheetId="28">#REF!</definedName>
    <definedName name="INVERSION" localSheetId="8">#REF!</definedName>
    <definedName name="INVERSION" localSheetId="27">#REF!</definedName>
    <definedName name="INVERSION" localSheetId="29">#REF!</definedName>
    <definedName name="INVERSION" localSheetId="30">#REF!</definedName>
    <definedName name="INVERSION">#REF!</definedName>
    <definedName name="ipc">'[6]calculos planilla'!$P$3:$Q$146</definedName>
    <definedName name="IUUIIU" localSheetId="30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jj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localSheetId="30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localSheetId="30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KJKLKJLKLÑL" localSheetId="30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localSheetId="30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7">#REF!</definedName>
    <definedName name="JR_PAGE_ANCHOR_0_1" localSheetId="20">#REF!</definedName>
    <definedName name="JR_PAGE_ANCHOR_0_1" localSheetId="18">#REF!</definedName>
    <definedName name="JR_PAGE_ANCHOR_0_1" localSheetId="23">#REF!</definedName>
    <definedName name="JR_PAGE_ANCHOR_0_1" localSheetId="19">#REF!</definedName>
    <definedName name="JR_PAGE_ANCHOR_0_1" localSheetId="28">#REF!</definedName>
    <definedName name="JR_PAGE_ANCHOR_0_1" localSheetId="27">#REF!</definedName>
    <definedName name="JR_PAGE_ANCHOR_0_1" localSheetId="29">#REF!</definedName>
    <definedName name="JR_PAGE_ANCHOR_0_1">#REF!</definedName>
    <definedName name="k" localSheetId="3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fh" localSheetId="30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localSheetId="30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30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localSheetId="30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localSheetId="3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localSheetId="30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localSheetId="30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localSheetId="30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1">#REF!</definedName>
    <definedName name="matriz" localSheetId="14">#REF!</definedName>
    <definedName name="matriz" localSheetId="3">#REF!</definedName>
    <definedName name="matriz" localSheetId="7">#REF!</definedName>
    <definedName name="matriz" localSheetId="0">#REF!</definedName>
    <definedName name="matriz" localSheetId="17">#REF!</definedName>
    <definedName name="matriz" localSheetId="20">#REF!</definedName>
    <definedName name="matriz" localSheetId="5">#REF!</definedName>
    <definedName name="matriz" localSheetId="18">#REF!</definedName>
    <definedName name="matriz" localSheetId="25">#REF!</definedName>
    <definedName name="matriz" localSheetId="22">#REF!</definedName>
    <definedName name="matriz" localSheetId="21">#REF!</definedName>
    <definedName name="matriz" localSheetId="23">#REF!</definedName>
    <definedName name="matriz" localSheetId="13">#REF!</definedName>
    <definedName name="matriz" localSheetId="19">#REF!</definedName>
    <definedName name="matriz" localSheetId="28">#REF!</definedName>
    <definedName name="matriz" localSheetId="27">#REF!</definedName>
    <definedName name="matriz" localSheetId="29">#REF!</definedName>
    <definedName name="matriz" localSheetId="30">#REF!</definedName>
    <definedName name="matriz">#REF!</definedName>
    <definedName name="matriz2" localSheetId="1">#REF!</definedName>
    <definedName name="matriz2" localSheetId="14">#REF!</definedName>
    <definedName name="matriz2" localSheetId="3">#REF!</definedName>
    <definedName name="matriz2" localSheetId="7">#REF!</definedName>
    <definedName name="matriz2" localSheetId="0">#REF!</definedName>
    <definedName name="matriz2" localSheetId="17">#REF!</definedName>
    <definedName name="matriz2" localSheetId="20">#REF!</definedName>
    <definedName name="matriz2" localSheetId="5">#REF!</definedName>
    <definedName name="matriz2" localSheetId="18">#REF!</definedName>
    <definedName name="matriz2" localSheetId="25">#REF!</definedName>
    <definedName name="matriz2" localSheetId="23">#REF!</definedName>
    <definedName name="matriz2" localSheetId="13">#REF!</definedName>
    <definedName name="matriz2" localSheetId="19">#REF!</definedName>
    <definedName name="matriz2" localSheetId="28">#REF!</definedName>
    <definedName name="matriz2" localSheetId="27">#REF!</definedName>
    <definedName name="matriz2" localSheetId="29">#REF!</definedName>
    <definedName name="matriz2" localSheetId="30">#REF!</definedName>
    <definedName name="matriz2">#REF!</definedName>
    <definedName name="mio" localSheetId="30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klkl" localSheetId="30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14">#REF!</definedName>
    <definedName name="mmm" localSheetId="7">#REF!</definedName>
    <definedName name="mmm" localSheetId="17">#REF!</definedName>
    <definedName name="mmm" localSheetId="20">#REF!</definedName>
    <definedName name="mmm" localSheetId="18">#REF!</definedName>
    <definedName name="mmm" localSheetId="22">#REF!</definedName>
    <definedName name="mmm" localSheetId="21">#REF!</definedName>
    <definedName name="mmm" localSheetId="23">#REF!</definedName>
    <definedName name="mmm" localSheetId="19">#REF!</definedName>
    <definedName name="mmm" localSheetId="28">#REF!</definedName>
    <definedName name="mmm" localSheetId="27">#REF!</definedName>
    <definedName name="mmm" localSheetId="29">#REF!</definedName>
    <definedName name="mmm" localSheetId="30">#REF!</definedName>
    <definedName name="mmm">#REF!</definedName>
    <definedName name="NEW" localSheetId="14" hidden="1">#REF!</definedName>
    <definedName name="NEW" localSheetId="7" hidden="1">#REF!</definedName>
    <definedName name="NEW" localSheetId="17" hidden="1">#REF!</definedName>
    <definedName name="NEW" localSheetId="20" hidden="1">#REF!</definedName>
    <definedName name="NEW" localSheetId="18" hidden="1">#REF!</definedName>
    <definedName name="NEW" localSheetId="23" hidden="1">#REF!</definedName>
    <definedName name="NEW" localSheetId="19" hidden="1">#REF!</definedName>
    <definedName name="NEW" localSheetId="28" hidden="1">#REF!</definedName>
    <definedName name="NEW" localSheetId="27" hidden="1">#REF!</definedName>
    <definedName name="NEW" localSheetId="29" hidden="1">#REF!</definedName>
    <definedName name="NEW" localSheetId="30" hidden="1">#REF!</definedName>
    <definedName name="NEW" hidden="1">#REF!</definedName>
    <definedName name="Nota9" localSheetId="30" hidden="1">{#N/A,#N/A,FALSE,"Aging Summary";#N/A,#N/A,FALSE,"Ratio Analysis";#N/A,#N/A,FALSE,"Test 120 Day Accts";#N/A,#N/A,FALSE,"Tickmarks"}</definedName>
    <definedName name="Nota9" hidden="1">{#N/A,#N/A,FALSE,"Aging Summary";#N/A,#N/A,FALSE,"Ratio Analysis";#N/A,#N/A,FALSE,"Test 120 Day Accts";#N/A,#N/A,FALSE,"Tickmarks"}</definedName>
    <definedName name="Nuevo" localSheetId="30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localSheetId="30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localSheetId="30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localSheetId="30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localSheetId="30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30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14" hidden="1">#REF!</definedName>
    <definedName name="ÑLKLÑ" localSheetId="7" hidden="1">#REF!</definedName>
    <definedName name="ÑLKLÑ" localSheetId="17" hidden="1">#REF!</definedName>
    <definedName name="ÑLKLÑ" localSheetId="20" hidden="1">#REF!</definedName>
    <definedName name="ÑLKLÑ" localSheetId="18" hidden="1">#REF!</definedName>
    <definedName name="ÑLKLÑ" localSheetId="23" hidden="1">#REF!</definedName>
    <definedName name="ÑLKLÑ" localSheetId="19" hidden="1">#REF!</definedName>
    <definedName name="ÑLKLÑ" localSheetId="28" hidden="1">#REF!</definedName>
    <definedName name="ÑLKLÑ" localSheetId="27" hidden="1">#REF!</definedName>
    <definedName name="ÑLKLÑ" localSheetId="29" hidden="1">#REF!</definedName>
    <definedName name="ÑLKLÑ" localSheetId="30" hidden="1">#REF!</definedName>
    <definedName name="ÑLKLÑ" hidden="1">#REF!</definedName>
    <definedName name="OCTUBRE" localSheetId="30" hidden="1">{"'ICE  Agosto'!$A$60:$A$64","'ICE  Agosto'!$C$67"}</definedName>
    <definedName name="OCTUBRE" hidden="1">{"'ICE  Agosto'!$A$60:$A$64","'ICE  Agosto'!$C$67"}</definedName>
    <definedName name="oiuhe80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30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ojop" localSheetId="30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localSheetId="30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localSheetId="30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1">#REF!</definedName>
    <definedName name="operacion" localSheetId="14">#REF!</definedName>
    <definedName name="operacion" localSheetId="3">#REF!</definedName>
    <definedName name="operacion" localSheetId="7">#REF!</definedName>
    <definedName name="operacion" localSheetId="0">#REF!</definedName>
    <definedName name="operacion" localSheetId="17">#REF!</definedName>
    <definedName name="operacion" localSheetId="20">#REF!</definedName>
    <definedName name="operacion" localSheetId="5">#REF!</definedName>
    <definedName name="operacion" localSheetId="18">#REF!</definedName>
    <definedName name="operacion" localSheetId="25">#REF!</definedName>
    <definedName name="operacion" localSheetId="23">#REF!</definedName>
    <definedName name="operacion" localSheetId="13">#REF!</definedName>
    <definedName name="operacion" localSheetId="19">#REF!</definedName>
    <definedName name="operacion" localSheetId="9">#REF!</definedName>
    <definedName name="operacion" localSheetId="28">#REF!</definedName>
    <definedName name="operacion" localSheetId="8">#REF!</definedName>
    <definedName name="operacion" localSheetId="27">#REF!</definedName>
    <definedName name="operacion" localSheetId="29">#REF!</definedName>
    <definedName name="operacion" localSheetId="30">#REF!</definedName>
    <definedName name="operacion">#REF!</definedName>
    <definedName name="OPERACION1" localSheetId="14">#REF!</definedName>
    <definedName name="OPERACION1" localSheetId="3">#REF!</definedName>
    <definedName name="OPERACION1" localSheetId="7">#REF!</definedName>
    <definedName name="OPERACION1" localSheetId="0">#REF!</definedName>
    <definedName name="OPERACION1" localSheetId="17">#REF!</definedName>
    <definedName name="OPERACION1" localSheetId="20">#REF!</definedName>
    <definedName name="OPERACION1" localSheetId="5">#REF!</definedName>
    <definedName name="OPERACION1" localSheetId="18">#REF!</definedName>
    <definedName name="OPERACION1" localSheetId="25">#REF!</definedName>
    <definedName name="OPERACION1" localSheetId="23">#REF!</definedName>
    <definedName name="OPERACION1" localSheetId="13">#REF!</definedName>
    <definedName name="OPERACION1" localSheetId="19">#REF!</definedName>
    <definedName name="OPERACION1" localSheetId="9">#REF!</definedName>
    <definedName name="OPERACION1" localSheetId="28">#REF!</definedName>
    <definedName name="OPERACION1" localSheetId="8">#REF!</definedName>
    <definedName name="OPERACION1" localSheetId="27">#REF!</definedName>
    <definedName name="OPERACION1" localSheetId="29">#REF!</definedName>
    <definedName name="OPERACION1" localSheetId="30">#REF!</definedName>
    <definedName name="OPERACION1">#REF!</definedName>
    <definedName name="operacion4" localSheetId="14">#REF!</definedName>
    <definedName name="operacion4" localSheetId="7">#REF!</definedName>
    <definedName name="operacion4" localSheetId="17">#REF!</definedName>
    <definedName name="operacion4" localSheetId="20">#REF!</definedName>
    <definedName name="operacion4" localSheetId="18">#REF!</definedName>
    <definedName name="operacion4" localSheetId="22">#REF!</definedName>
    <definedName name="operacion4" localSheetId="21">#REF!</definedName>
    <definedName name="operacion4" localSheetId="23">#REF!</definedName>
    <definedName name="operacion4" localSheetId="19">#REF!</definedName>
    <definedName name="operacion4" localSheetId="28">#REF!</definedName>
    <definedName name="operacion4" localSheetId="27">#REF!</definedName>
    <definedName name="operacion4" localSheetId="29">#REF!</definedName>
    <definedName name="operacion4" localSheetId="30">#REF!</definedName>
    <definedName name="operacion4">#REF!</definedName>
    <definedName name="ORDENADO" localSheetId="14">#REF!</definedName>
    <definedName name="ORDENADO" localSheetId="7">#REF!</definedName>
    <definedName name="ORDENADO" localSheetId="17">#REF!</definedName>
    <definedName name="ORDENADO" localSheetId="20">#REF!</definedName>
    <definedName name="ORDENADO" localSheetId="5">#REF!</definedName>
    <definedName name="ORDENADO" localSheetId="18">#REF!</definedName>
    <definedName name="ORDENADO" localSheetId="25">#REF!</definedName>
    <definedName name="ORDENADO" localSheetId="22">#REF!</definedName>
    <definedName name="ORDENADO" localSheetId="21">#REF!</definedName>
    <definedName name="ORDENADO" localSheetId="23">#REF!</definedName>
    <definedName name="ORDENADO" localSheetId="19">#REF!</definedName>
    <definedName name="ORDENADO" localSheetId="28">#REF!</definedName>
    <definedName name="ORDENADO" localSheetId="27">#REF!</definedName>
    <definedName name="ORDENADO" localSheetId="29">#REF!</definedName>
    <definedName name="ORDENADO" localSheetId="30">#REF!</definedName>
    <definedName name="ORDENADO">#REF!</definedName>
    <definedName name="p" localSheetId="3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is">[5]definiciones!$C$2:$C$256</definedName>
    <definedName name="pajfhaj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14">#REF!</definedName>
    <definedName name="pert" localSheetId="7">#REF!</definedName>
    <definedName name="pert" localSheetId="17">#REF!</definedName>
    <definedName name="pert" localSheetId="20">#REF!</definedName>
    <definedName name="pert" localSheetId="18">#REF!</definedName>
    <definedName name="pert" localSheetId="22">#REF!</definedName>
    <definedName name="pert" localSheetId="21">#REF!</definedName>
    <definedName name="pert" localSheetId="23">#REF!</definedName>
    <definedName name="pert" localSheetId="19">#REF!</definedName>
    <definedName name="pert" localSheetId="28">#REF!</definedName>
    <definedName name="pert" localSheetId="27">#REF!</definedName>
    <definedName name="pert" localSheetId="29">#REF!</definedName>
    <definedName name="pert" localSheetId="30">#REF!</definedName>
    <definedName name="pert">#REF!</definedName>
    <definedName name="PLAN02" localSheetId="30" hidden="1">{#N/A,#N/A,FALSE,"Cover (Japan)";#N/A,#N/A,FALSE,"Index";#N/A,#N/A,FALSE,"Comment sum"}</definedName>
    <definedName name="PLAN02" hidden="1">{#N/A,#N/A,FALSE,"Cover (Japan)";#N/A,#N/A,FALSE,"Index";#N/A,#N/A,FALSE,"Comment sum"}</definedName>
    <definedName name="poto" localSheetId="30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pmxxx" localSheetId="30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localSheetId="30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localSheetId="30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localSheetId="30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localSheetId="30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q" localSheetId="30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localSheetId="30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localSheetId="30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localSheetId="30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localSheetId="3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14">#REF!</definedName>
    <definedName name="RRRR" localSheetId="7">#REF!</definedName>
    <definedName name="RRRR" localSheetId="17">#REF!</definedName>
    <definedName name="RRRR" localSheetId="20">#REF!</definedName>
    <definedName name="RRRR" localSheetId="5">#REF!</definedName>
    <definedName name="RRRR" localSheetId="18">#REF!</definedName>
    <definedName name="RRRR" localSheetId="25">#REF!</definedName>
    <definedName name="RRRR" localSheetId="22">#REF!</definedName>
    <definedName name="RRRR" localSheetId="21">#REF!</definedName>
    <definedName name="RRRR" localSheetId="23">#REF!</definedName>
    <definedName name="RRRR" localSheetId="19">#REF!</definedName>
    <definedName name="RRRR" localSheetId="28">#REF!</definedName>
    <definedName name="RRRR" localSheetId="27">#REF!</definedName>
    <definedName name="RRRR" localSheetId="29">#REF!</definedName>
    <definedName name="RRRR" localSheetId="30">#REF!</definedName>
    <definedName name="RRRR">#REF!</definedName>
    <definedName name="s" localSheetId="30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d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localSheetId="30" hidden="1">{#N/A,#N/A,FALSE,"Aging Summary";#N/A,#N/A,FALSE,"Ratio Analysis";#N/A,#N/A,FALSE,"Test 120 Day Accts";#N/A,#N/A,FALSE,"Tickmarks"}</definedName>
    <definedName name="sdaad" hidden="1">{#N/A,#N/A,FALSE,"Aging Summary";#N/A,#N/A,FALSE,"Ratio Analysis";#N/A,#N/A,FALSE,"Test 120 Day Accts";#N/A,#N/A,FALSE,"Tickmarks"}</definedName>
    <definedName name="sdfasdad" localSheetId="30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localSheetId="30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[5]definiciones!$E$2:$E$3</definedName>
    <definedName name="SOIQJUSI" localSheetId="30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localSheetId="30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RDF" localSheetId="14">#REF!</definedName>
    <definedName name="SRDF" localSheetId="7">#REF!</definedName>
    <definedName name="SRDF" localSheetId="17">#REF!</definedName>
    <definedName name="SRDF" localSheetId="20">#REF!</definedName>
    <definedName name="SRDF" localSheetId="5">#REF!</definedName>
    <definedName name="SRDF" localSheetId="18">#REF!</definedName>
    <definedName name="SRDF" localSheetId="25">#REF!</definedName>
    <definedName name="SRDF" localSheetId="22">#REF!</definedName>
    <definedName name="SRDF" localSheetId="21">#REF!</definedName>
    <definedName name="SRDF" localSheetId="23">#REF!</definedName>
    <definedName name="SRDF" localSheetId="19">#REF!</definedName>
    <definedName name="SRDF" localSheetId="28">#REF!</definedName>
    <definedName name="SRDF" localSheetId="27">#REF!</definedName>
    <definedName name="SRDF" localSheetId="29">#REF!</definedName>
    <definedName name="SRDF" localSheetId="30">#REF!</definedName>
    <definedName name="SRDF">#REF!</definedName>
    <definedName name="ssss" localSheetId="14">#REF!</definedName>
    <definedName name="ssss" localSheetId="7">#REF!</definedName>
    <definedName name="ssss" localSheetId="17">#REF!</definedName>
    <definedName name="ssss" localSheetId="20">#REF!</definedName>
    <definedName name="ssss" localSheetId="18">#REF!</definedName>
    <definedName name="ssss" localSheetId="22">#REF!</definedName>
    <definedName name="ssss" localSheetId="21">#REF!</definedName>
    <definedName name="ssss" localSheetId="23">#REF!</definedName>
    <definedName name="ssss" localSheetId="19">#REF!</definedName>
    <definedName name="ssss" localSheetId="28">#REF!</definedName>
    <definedName name="ssss" localSheetId="27">#REF!</definedName>
    <definedName name="ssss" localSheetId="29">#REF!</definedName>
    <definedName name="ssss" localSheetId="30">#REF!</definedName>
    <definedName name="ssss">#REF!</definedName>
    <definedName name="swssasa" localSheetId="30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t" localSheetId="30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localSheetId="30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1">#REF!</definedName>
    <definedName name="TABLAS" localSheetId="14">#REF!</definedName>
    <definedName name="TABLAS" localSheetId="3">#REF!</definedName>
    <definedName name="TABLAS" localSheetId="7">#REF!</definedName>
    <definedName name="TABLAS" localSheetId="0">#REF!</definedName>
    <definedName name="TABLAS" localSheetId="17">#REF!</definedName>
    <definedName name="TABLAS" localSheetId="20">#REF!</definedName>
    <definedName name="TABLAS" localSheetId="5">#REF!</definedName>
    <definedName name="TABLAS" localSheetId="18">#REF!</definedName>
    <definedName name="TABLAS" localSheetId="25">#REF!</definedName>
    <definedName name="TABLAS" localSheetId="23">#REF!</definedName>
    <definedName name="TABLAS" localSheetId="13">#REF!</definedName>
    <definedName name="TABLAS" localSheetId="19">#REF!</definedName>
    <definedName name="TABLAS" localSheetId="28">#REF!</definedName>
    <definedName name="TABLAS" localSheetId="27">#REF!</definedName>
    <definedName name="TABLAS" localSheetId="29">#REF!</definedName>
    <definedName name="TABLAS" localSheetId="30">#REF!</definedName>
    <definedName name="TABLAS">#REF!</definedName>
    <definedName name="TextRefCopyRangeCount" hidden="1">2</definedName>
    <definedName name="tt" localSheetId="30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FFFFVVGGT" localSheetId="30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14">#REF!</definedName>
    <definedName name="TTTT" localSheetId="7">#REF!</definedName>
    <definedName name="TTTT" localSheetId="17">#REF!</definedName>
    <definedName name="TTTT" localSheetId="20">#REF!</definedName>
    <definedName name="TTTT" localSheetId="5">#REF!</definedName>
    <definedName name="TTTT" localSheetId="18">#REF!</definedName>
    <definedName name="TTTT" localSheetId="25">#REF!</definedName>
    <definedName name="TTTT" localSheetId="22">#REF!</definedName>
    <definedName name="TTTT" localSheetId="21">#REF!</definedName>
    <definedName name="TTTT" localSheetId="23">#REF!</definedName>
    <definedName name="TTTT" localSheetId="19">#REF!</definedName>
    <definedName name="TTTT" localSheetId="28">#REF!</definedName>
    <definedName name="TTTT" localSheetId="27">#REF!</definedName>
    <definedName name="TTTT" localSheetId="29">#REF!</definedName>
    <definedName name="TTTT" localSheetId="30">#REF!</definedName>
    <definedName name="TTTT">#REF!</definedName>
    <definedName name="u" localSheetId="30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HIHOJ" localSheetId="30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localSheetId="30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[5]definiciones!$H$2:$H$5</definedName>
    <definedName name="unidia">[5]definiciones!$I$2:$I$5</definedName>
    <definedName name="uuuu" localSheetId="3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5">'[8]Registrar '!$A$2:$B$182</definedName>
    <definedName name="v" localSheetId="18">'[8]Registrar '!$A$2:$B$182</definedName>
    <definedName name="v" localSheetId="25">'[8]Registrar '!$A$2:$B$182</definedName>
    <definedName name="v" localSheetId="10">'[9]Registrar '!$A$2:$B$182</definedName>
    <definedName name="v" localSheetId="29">'[9]Registrar '!$A$2:$B$182</definedName>
    <definedName name="v" localSheetId="30">'[10]Registrar '!$A$2:$B$182</definedName>
    <definedName name="v" localSheetId="26">'[9]Registrar '!$A$2:$B$182</definedName>
    <definedName name="v">'[11]Registrar '!$A$2:$B$182</definedName>
    <definedName name="VBA_VERSION" hidden="1">"1.11.0"</definedName>
    <definedName name="ve" localSheetId="30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FGDGDS" localSheetId="14">#REF!</definedName>
    <definedName name="VFGDGDS" localSheetId="7">#REF!</definedName>
    <definedName name="VFGDGDS" localSheetId="17">#REF!</definedName>
    <definedName name="VFGDGDS" localSheetId="20">#REF!</definedName>
    <definedName name="VFGDGDS" localSheetId="5">#REF!</definedName>
    <definedName name="VFGDGDS" localSheetId="18">#REF!</definedName>
    <definedName name="VFGDGDS" localSheetId="25">#REF!</definedName>
    <definedName name="VFGDGDS" localSheetId="22">#REF!</definedName>
    <definedName name="VFGDGDS" localSheetId="21">#REF!</definedName>
    <definedName name="VFGDGDS" localSheetId="23">#REF!</definedName>
    <definedName name="VFGDGDS" localSheetId="19">#REF!</definedName>
    <definedName name="VFGDGDS" localSheetId="28">#REF!</definedName>
    <definedName name="VFGDGDS" localSheetId="27">#REF!</definedName>
    <definedName name="VFGDGDS" localSheetId="29">#REF!</definedName>
    <definedName name="VFGDGDS" localSheetId="30">#REF!</definedName>
    <definedName name="VFGDGDS">#REF!</definedName>
    <definedName name="Vutil">[6]bien!$G$17</definedName>
    <definedName name="vvv" localSheetId="30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vvvv" localSheetId="30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localSheetId="30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localSheetId="30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localSheetId="30" hidden="1">{#N/A,#N/A,FALSE,"A-100"}</definedName>
    <definedName name="wrn.Activo._.Fijo._.y._.Depreciacion." hidden="1">{#N/A,#N/A,FALSE,"A-100"}</definedName>
    <definedName name="wrn.Aging._.and._.Trend._.Analysis." localSheetId="3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1.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localSheetId="30" hidden="1">{#N/A,#N/A,FALSE,"Cover (Japan)";#N/A,#N/A,FALSE,"Index";#N/A,#N/A,FALSE,"Comment sum"}</definedName>
    <definedName name="wrn.Approval._.Rpt." hidden="1">{#N/A,#N/A,FALSE,"Cover (Japan)";#N/A,#N/A,FALSE,"Index";#N/A,#N/A,FALSE,"Comment sum"}</definedName>
    <definedName name="wrn.CO." localSheetId="30" hidden="1">{#N/A,#N/A,FALSE,"datos_tecnicos";#N/A,#N/A,FALSE,"actividad";#N/A,#N/A,FALSE,"egastos"}</definedName>
    <definedName name="wrn.CO." hidden="1">{#N/A,#N/A,FALSE,"datos_tecnicos";#N/A,#N/A,FALSE,"actividad";#N/A,#N/A,FALSE,"egastos"}</definedName>
    <definedName name="wrn.Complete._.Report." localSheetId="3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localSheetId="30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urrent._.Year._.Plan._.Only." localSheetId="3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localSheetId="30" hidden="1">{#N/A,#N/A,FALSE,"Exception Report"}</definedName>
    <definedName name="wrn.Exception._.Report." hidden="1">{#N/A,#N/A,FALSE,"Exception Report"}</definedName>
    <definedName name="wrn.Five._.Year._.Plan." localSheetId="3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3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localSheetId="30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inera._.Escondida._.Ltda." localSheetId="30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localSheetId="3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30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30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localSheetId="3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localSheetId="3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3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3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3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localSheetId="3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localSheetId="3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30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Supplemental._.Pkg.." localSheetId="3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3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localSheetId="30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localSheetId="30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localSheetId="30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3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localSheetId="30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14" hidden="1">#REF!</definedName>
    <definedName name="XREF_COLUMN_1" localSheetId="7" hidden="1">#REF!</definedName>
    <definedName name="XREF_COLUMN_1" localSheetId="17" hidden="1">#REF!</definedName>
    <definedName name="XREF_COLUMN_1" localSheetId="20" hidden="1">#REF!</definedName>
    <definedName name="XREF_COLUMN_1" localSheetId="18" hidden="1">#REF!</definedName>
    <definedName name="XREF_COLUMN_1" localSheetId="23" hidden="1">#REF!</definedName>
    <definedName name="XREF_COLUMN_1" localSheetId="19" hidden="1">#REF!</definedName>
    <definedName name="XREF_COLUMN_1" localSheetId="28" hidden="1">#REF!</definedName>
    <definedName name="XREF_COLUMN_1" localSheetId="27" hidden="1">#REF!</definedName>
    <definedName name="XREF_COLUMN_1" localSheetId="29" hidden="1">#REF!</definedName>
    <definedName name="XREF_COLUMN_1" localSheetId="30" hidden="1">#REF!</definedName>
    <definedName name="XREF_COLUMN_1" hidden="1">#REF!</definedName>
    <definedName name="XREF_COLUMN_10" localSheetId="14" hidden="1">[12]Movimiento!#REF!</definedName>
    <definedName name="XREF_COLUMN_10" localSheetId="7" hidden="1">[12]Movimiento!#REF!</definedName>
    <definedName name="XREF_COLUMN_10" localSheetId="17" hidden="1">[12]Movimiento!#REF!</definedName>
    <definedName name="XREF_COLUMN_10" localSheetId="20" hidden="1">[12]Movimiento!#REF!</definedName>
    <definedName name="XREF_COLUMN_10" localSheetId="18" hidden="1">[12]Movimiento!#REF!</definedName>
    <definedName name="XREF_COLUMN_10" localSheetId="23" hidden="1">[12]Movimiento!#REF!</definedName>
    <definedName name="XREF_COLUMN_10" localSheetId="19" hidden="1">[12]Movimiento!#REF!</definedName>
    <definedName name="XREF_COLUMN_10" localSheetId="28" hidden="1">[12]Movimiento!#REF!</definedName>
    <definedName name="XREF_COLUMN_10" localSheetId="27" hidden="1">[12]Movimiento!#REF!</definedName>
    <definedName name="XREF_COLUMN_10" localSheetId="29" hidden="1">[12]Movimiento!#REF!</definedName>
    <definedName name="XREF_COLUMN_10" localSheetId="30" hidden="1">[12]Movimiento!#REF!</definedName>
    <definedName name="XREF_COLUMN_10" hidden="1">[12]Movimiento!#REF!</definedName>
    <definedName name="XREF_COLUMN_11" localSheetId="14" hidden="1">#REF!</definedName>
    <definedName name="XREF_COLUMN_11" localSheetId="7" hidden="1">#REF!</definedName>
    <definedName name="XREF_COLUMN_11" localSheetId="17" hidden="1">#REF!</definedName>
    <definedName name="XREF_COLUMN_11" localSheetId="20" hidden="1">#REF!</definedName>
    <definedName name="XREF_COLUMN_11" localSheetId="18" hidden="1">#REF!</definedName>
    <definedName name="XREF_COLUMN_11" localSheetId="23" hidden="1">#REF!</definedName>
    <definedName name="XREF_COLUMN_11" localSheetId="19" hidden="1">#REF!</definedName>
    <definedName name="XREF_COLUMN_11" localSheetId="28" hidden="1">#REF!</definedName>
    <definedName name="XREF_COLUMN_11" localSheetId="27" hidden="1">#REF!</definedName>
    <definedName name="XREF_COLUMN_11" localSheetId="29" hidden="1">#REF!</definedName>
    <definedName name="XREF_COLUMN_11" localSheetId="30" hidden="1">#REF!</definedName>
    <definedName name="XREF_COLUMN_11" hidden="1">#REF!</definedName>
    <definedName name="XREF_COLUMN_12" localSheetId="14" hidden="1">#REF!</definedName>
    <definedName name="XREF_COLUMN_12" localSheetId="7" hidden="1">#REF!</definedName>
    <definedName name="XREF_COLUMN_12" localSheetId="17" hidden="1">#REF!</definedName>
    <definedName name="XREF_COLUMN_12" localSheetId="20" hidden="1">#REF!</definedName>
    <definedName name="XREF_COLUMN_12" localSheetId="18" hidden="1">#REF!</definedName>
    <definedName name="XREF_COLUMN_12" localSheetId="23" hidden="1">#REF!</definedName>
    <definedName name="XREF_COLUMN_12" localSheetId="19" hidden="1">#REF!</definedName>
    <definedName name="XREF_COLUMN_12" localSheetId="28" hidden="1">#REF!</definedName>
    <definedName name="XREF_COLUMN_12" localSheetId="27" hidden="1">#REF!</definedName>
    <definedName name="XREF_COLUMN_12" localSheetId="29" hidden="1">#REF!</definedName>
    <definedName name="XREF_COLUMN_12" localSheetId="30" hidden="1">#REF!</definedName>
    <definedName name="XREF_COLUMN_12" hidden="1">#REF!</definedName>
    <definedName name="XREF_COLUMN_13" localSheetId="14" hidden="1">[12]Movimiento!#REF!</definedName>
    <definedName name="XREF_COLUMN_13" localSheetId="7" hidden="1">[12]Movimiento!#REF!</definedName>
    <definedName name="XREF_COLUMN_13" localSheetId="17" hidden="1">[12]Movimiento!#REF!</definedName>
    <definedName name="XREF_COLUMN_13" localSheetId="20" hidden="1">[12]Movimiento!#REF!</definedName>
    <definedName name="XREF_COLUMN_13" localSheetId="18" hidden="1">[12]Movimiento!#REF!</definedName>
    <definedName name="XREF_COLUMN_13" localSheetId="23" hidden="1">[12]Movimiento!#REF!</definedName>
    <definedName name="XREF_COLUMN_13" localSheetId="19" hidden="1">[12]Movimiento!#REF!</definedName>
    <definedName name="XREF_COLUMN_13" localSheetId="28" hidden="1">[12]Movimiento!#REF!</definedName>
    <definedName name="XREF_COLUMN_13" localSheetId="27" hidden="1">[12]Movimiento!#REF!</definedName>
    <definedName name="XREF_COLUMN_13" localSheetId="29" hidden="1">[12]Movimiento!#REF!</definedName>
    <definedName name="XREF_COLUMN_13" localSheetId="30" hidden="1">[12]Movimiento!#REF!</definedName>
    <definedName name="XREF_COLUMN_13" hidden="1">[12]Movimiento!#REF!</definedName>
    <definedName name="XREF_COLUMN_14" localSheetId="14" hidden="1">[12]Movimiento!#REF!</definedName>
    <definedName name="XREF_COLUMN_14" localSheetId="7" hidden="1">[12]Movimiento!#REF!</definedName>
    <definedName name="XREF_COLUMN_14" localSheetId="17" hidden="1">[12]Movimiento!#REF!</definedName>
    <definedName name="XREF_COLUMN_14" localSheetId="20" hidden="1">[12]Movimiento!#REF!</definedName>
    <definedName name="XREF_COLUMN_14" localSheetId="18" hidden="1">[12]Movimiento!#REF!</definedName>
    <definedName name="XREF_COLUMN_14" localSheetId="23" hidden="1">[12]Movimiento!#REF!</definedName>
    <definedName name="XREF_COLUMN_14" localSheetId="19" hidden="1">[12]Movimiento!#REF!</definedName>
    <definedName name="XREF_COLUMN_14" localSheetId="28" hidden="1">[12]Movimiento!#REF!</definedName>
    <definedName name="XREF_COLUMN_14" localSheetId="27" hidden="1">[12]Movimiento!#REF!</definedName>
    <definedName name="XREF_COLUMN_14" localSheetId="29" hidden="1">[12]Movimiento!#REF!</definedName>
    <definedName name="XREF_COLUMN_14" localSheetId="30" hidden="1">[12]Movimiento!#REF!</definedName>
    <definedName name="XREF_COLUMN_14" hidden="1">[12]Movimiento!#REF!</definedName>
    <definedName name="XREF_COLUMN_15" localSheetId="14" hidden="1">'[12]Dep ejercicio'!#REF!</definedName>
    <definedName name="XREF_COLUMN_15" localSheetId="7" hidden="1">'[12]Dep ejercicio'!#REF!</definedName>
    <definedName name="XREF_COLUMN_15" localSheetId="17" hidden="1">'[12]Dep ejercicio'!#REF!</definedName>
    <definedName name="XREF_COLUMN_15" localSheetId="20" hidden="1">'[12]Dep ejercicio'!#REF!</definedName>
    <definedName name="XREF_COLUMN_15" localSheetId="18" hidden="1">'[12]Dep ejercicio'!#REF!</definedName>
    <definedName name="XREF_COLUMN_15" localSheetId="23" hidden="1">'[12]Dep ejercicio'!#REF!</definedName>
    <definedName name="XREF_COLUMN_15" localSheetId="19" hidden="1">'[12]Dep ejercicio'!#REF!</definedName>
    <definedName name="XREF_COLUMN_15" localSheetId="28" hidden="1">'[12]Dep ejercicio'!#REF!</definedName>
    <definedName name="XREF_COLUMN_15" localSheetId="27" hidden="1">'[12]Dep ejercicio'!#REF!</definedName>
    <definedName name="XREF_COLUMN_15" localSheetId="29" hidden="1">'[12]Dep ejercicio'!#REF!</definedName>
    <definedName name="XREF_COLUMN_15" localSheetId="30" hidden="1">'[12]Dep ejercicio'!#REF!</definedName>
    <definedName name="XREF_COLUMN_15" hidden="1">'[12]Dep ejercicio'!#REF!</definedName>
    <definedName name="XREF_COLUMN_16" localSheetId="14" hidden="1">#REF!</definedName>
    <definedName name="XREF_COLUMN_16" localSheetId="7" hidden="1">#REF!</definedName>
    <definedName name="XREF_COLUMN_16" localSheetId="17" hidden="1">#REF!</definedName>
    <definedName name="XREF_COLUMN_16" localSheetId="20" hidden="1">#REF!</definedName>
    <definedName name="XREF_COLUMN_16" localSheetId="18" hidden="1">#REF!</definedName>
    <definedName name="XREF_COLUMN_16" localSheetId="23" hidden="1">#REF!</definedName>
    <definedName name="XREF_COLUMN_16" localSheetId="19" hidden="1">#REF!</definedName>
    <definedName name="XREF_COLUMN_16" localSheetId="28" hidden="1">#REF!</definedName>
    <definedName name="XREF_COLUMN_16" localSheetId="27" hidden="1">#REF!</definedName>
    <definedName name="XREF_COLUMN_16" localSheetId="29" hidden="1">#REF!</definedName>
    <definedName name="XREF_COLUMN_16" localSheetId="30" hidden="1">#REF!</definedName>
    <definedName name="XREF_COLUMN_16" hidden="1">#REF!</definedName>
    <definedName name="XREF_COLUMN_17" localSheetId="14" hidden="1">#REF!</definedName>
    <definedName name="XREF_COLUMN_17" localSheetId="7" hidden="1">#REF!</definedName>
    <definedName name="XREF_COLUMN_17" localSheetId="17" hidden="1">#REF!</definedName>
    <definedName name="XREF_COLUMN_17" localSheetId="20" hidden="1">#REF!</definedName>
    <definedName name="XREF_COLUMN_17" localSheetId="18" hidden="1">#REF!</definedName>
    <definedName name="XREF_COLUMN_17" localSheetId="23" hidden="1">#REF!</definedName>
    <definedName name="XREF_COLUMN_17" localSheetId="19" hidden="1">#REF!</definedName>
    <definedName name="XREF_COLUMN_17" localSheetId="28" hidden="1">#REF!</definedName>
    <definedName name="XREF_COLUMN_17" localSheetId="27" hidden="1">#REF!</definedName>
    <definedName name="XREF_COLUMN_17" localSheetId="29" hidden="1">#REF!</definedName>
    <definedName name="XREF_COLUMN_17" localSheetId="30" hidden="1">#REF!</definedName>
    <definedName name="XREF_COLUMN_17" hidden="1">#REF!</definedName>
    <definedName name="XREF_COLUMN_18" localSheetId="14" hidden="1">'[12]Dep acumulada'!#REF!</definedName>
    <definedName name="XREF_COLUMN_18" localSheetId="7" hidden="1">'[12]Dep acumulada'!#REF!</definedName>
    <definedName name="XREF_COLUMN_18" localSheetId="17" hidden="1">'[12]Dep acumulada'!#REF!</definedName>
    <definedName name="XREF_COLUMN_18" localSheetId="20" hidden="1">'[12]Dep acumulada'!#REF!</definedName>
    <definedName name="XREF_COLUMN_18" localSheetId="18" hidden="1">'[12]Dep acumulada'!#REF!</definedName>
    <definedName name="XREF_COLUMN_18" localSheetId="23" hidden="1">'[12]Dep acumulada'!#REF!</definedName>
    <definedName name="XREF_COLUMN_18" localSheetId="19" hidden="1">'[12]Dep acumulada'!#REF!</definedName>
    <definedName name="XREF_COLUMN_18" localSheetId="28" hidden="1">'[12]Dep acumulada'!#REF!</definedName>
    <definedName name="XREF_COLUMN_18" localSheetId="27" hidden="1">'[12]Dep acumulada'!#REF!</definedName>
    <definedName name="XREF_COLUMN_18" localSheetId="29" hidden="1">'[12]Dep acumulada'!#REF!</definedName>
    <definedName name="XREF_COLUMN_18" localSheetId="30" hidden="1">'[12]Dep acumulada'!#REF!</definedName>
    <definedName name="XREF_COLUMN_18" hidden="1">'[12]Dep acumulada'!#REF!</definedName>
    <definedName name="XREF_COLUMN_19" localSheetId="14" hidden="1">#REF!</definedName>
    <definedName name="XREF_COLUMN_19" localSheetId="7" hidden="1">#REF!</definedName>
    <definedName name="XREF_COLUMN_19" localSheetId="17" hidden="1">#REF!</definedName>
    <definedName name="XREF_COLUMN_19" localSheetId="20" hidden="1">#REF!</definedName>
    <definedName name="XREF_COLUMN_19" localSheetId="18" hidden="1">#REF!</definedName>
    <definedName name="XREF_COLUMN_19" localSheetId="23" hidden="1">#REF!</definedName>
    <definedName name="XREF_COLUMN_19" localSheetId="19" hidden="1">#REF!</definedName>
    <definedName name="XREF_COLUMN_19" localSheetId="28" hidden="1">#REF!</definedName>
    <definedName name="XREF_COLUMN_19" localSheetId="27" hidden="1">#REF!</definedName>
    <definedName name="XREF_COLUMN_19" localSheetId="29" hidden="1">#REF!</definedName>
    <definedName name="XREF_COLUMN_19" localSheetId="30" hidden="1">#REF!</definedName>
    <definedName name="XREF_COLUMN_19" hidden="1">#REF!</definedName>
    <definedName name="XREF_COLUMN_2" localSheetId="14" hidden="1">#REF!</definedName>
    <definedName name="XREF_COLUMN_2" localSheetId="7" hidden="1">#REF!</definedName>
    <definedName name="XREF_COLUMN_2" localSheetId="17" hidden="1">#REF!</definedName>
    <definedName name="XREF_COLUMN_2" localSheetId="20" hidden="1">#REF!</definedName>
    <definedName name="XREF_COLUMN_2" localSheetId="18" hidden="1">#REF!</definedName>
    <definedName name="XREF_COLUMN_2" localSheetId="23" hidden="1">#REF!</definedName>
    <definedName name="XREF_COLUMN_2" localSheetId="19" hidden="1">#REF!</definedName>
    <definedName name="XREF_COLUMN_2" localSheetId="28" hidden="1">#REF!</definedName>
    <definedName name="XREF_COLUMN_2" localSheetId="27" hidden="1">#REF!</definedName>
    <definedName name="XREF_COLUMN_2" localSheetId="29" hidden="1">#REF!</definedName>
    <definedName name="XREF_COLUMN_2" localSheetId="30" hidden="1">#REF!</definedName>
    <definedName name="XREF_COLUMN_2" hidden="1">#REF!</definedName>
    <definedName name="XREF_COLUMN_20" localSheetId="14" hidden="1">[12]Movimiento!#REF!</definedName>
    <definedName name="XREF_COLUMN_20" localSheetId="7" hidden="1">[12]Movimiento!#REF!</definedName>
    <definedName name="XREF_COLUMN_20" localSheetId="17" hidden="1">[12]Movimiento!#REF!</definedName>
    <definedName name="XREF_COLUMN_20" localSheetId="20" hidden="1">[12]Movimiento!#REF!</definedName>
    <definedName name="XREF_COLUMN_20" localSheetId="18" hidden="1">[12]Movimiento!#REF!</definedName>
    <definedName name="XREF_COLUMN_20" localSheetId="23" hidden="1">[12]Movimiento!#REF!</definedName>
    <definedName name="XREF_COLUMN_20" localSheetId="19" hidden="1">[12]Movimiento!#REF!</definedName>
    <definedName name="XREF_COLUMN_20" localSheetId="28" hidden="1">[12]Movimiento!#REF!</definedName>
    <definedName name="XREF_COLUMN_20" localSheetId="27" hidden="1">[12]Movimiento!#REF!</definedName>
    <definedName name="XREF_COLUMN_20" localSheetId="29" hidden="1">[12]Movimiento!#REF!</definedName>
    <definedName name="XREF_COLUMN_20" localSheetId="30" hidden="1">[12]Movimiento!#REF!</definedName>
    <definedName name="XREF_COLUMN_20" hidden="1">[12]Movimiento!#REF!</definedName>
    <definedName name="XREF_COLUMN_24" localSheetId="14" hidden="1">#REF!</definedName>
    <definedName name="XREF_COLUMN_24" localSheetId="7" hidden="1">#REF!</definedName>
    <definedName name="XREF_COLUMN_24" localSheetId="17" hidden="1">#REF!</definedName>
    <definedName name="XREF_COLUMN_24" localSheetId="20" hidden="1">#REF!</definedName>
    <definedName name="XREF_COLUMN_24" localSheetId="18" hidden="1">#REF!</definedName>
    <definedName name="XREF_COLUMN_24" localSheetId="23" hidden="1">#REF!</definedName>
    <definedName name="XREF_COLUMN_24" localSheetId="19" hidden="1">#REF!</definedName>
    <definedName name="XREF_COLUMN_24" localSheetId="28" hidden="1">#REF!</definedName>
    <definedName name="XREF_COLUMN_24" localSheetId="27" hidden="1">#REF!</definedName>
    <definedName name="XREF_COLUMN_24" localSheetId="29" hidden="1">#REF!</definedName>
    <definedName name="XREF_COLUMN_24" localSheetId="30" hidden="1">#REF!</definedName>
    <definedName name="XREF_COLUMN_24" hidden="1">#REF!</definedName>
    <definedName name="XREF_COLUMN_29" localSheetId="14" hidden="1">#REF!</definedName>
    <definedName name="XREF_COLUMN_29" localSheetId="7" hidden="1">#REF!</definedName>
    <definedName name="XREF_COLUMN_29" localSheetId="17" hidden="1">#REF!</definedName>
    <definedName name="XREF_COLUMN_29" localSheetId="20" hidden="1">#REF!</definedName>
    <definedName name="XREF_COLUMN_29" localSheetId="18" hidden="1">#REF!</definedName>
    <definedName name="XREF_COLUMN_29" localSheetId="23" hidden="1">#REF!</definedName>
    <definedName name="XREF_COLUMN_29" localSheetId="19" hidden="1">#REF!</definedName>
    <definedName name="XREF_COLUMN_29" localSheetId="28" hidden="1">#REF!</definedName>
    <definedName name="XREF_COLUMN_29" localSheetId="27" hidden="1">#REF!</definedName>
    <definedName name="XREF_COLUMN_29" localSheetId="29" hidden="1">#REF!</definedName>
    <definedName name="XREF_COLUMN_29" localSheetId="30" hidden="1">#REF!</definedName>
    <definedName name="XREF_COLUMN_29" hidden="1">#REF!</definedName>
    <definedName name="XREF_COLUMN_3" localSheetId="14" hidden="1">#REF!</definedName>
    <definedName name="XREF_COLUMN_3" localSheetId="7" hidden="1">#REF!</definedName>
    <definedName name="XREF_COLUMN_3" localSheetId="17" hidden="1">#REF!</definedName>
    <definedName name="XREF_COLUMN_3" localSheetId="20" hidden="1">#REF!</definedName>
    <definedName name="XREF_COLUMN_3" localSheetId="18" hidden="1">#REF!</definedName>
    <definedName name="XREF_COLUMN_3" localSheetId="23" hidden="1">#REF!</definedName>
    <definedName name="XREF_COLUMN_3" localSheetId="19" hidden="1">#REF!</definedName>
    <definedName name="XREF_COLUMN_3" localSheetId="28" hidden="1">#REF!</definedName>
    <definedName name="XREF_COLUMN_3" localSheetId="27" hidden="1">#REF!</definedName>
    <definedName name="XREF_COLUMN_3" localSheetId="29" hidden="1">#REF!</definedName>
    <definedName name="XREF_COLUMN_3" localSheetId="30" hidden="1">#REF!</definedName>
    <definedName name="XREF_COLUMN_3" hidden="1">#REF!</definedName>
    <definedName name="XREF_COLUMN_30" localSheetId="14" hidden="1">#REF!</definedName>
    <definedName name="XREF_COLUMN_30" localSheetId="7" hidden="1">#REF!</definedName>
    <definedName name="XREF_COLUMN_30" localSheetId="17" hidden="1">#REF!</definedName>
    <definedName name="XREF_COLUMN_30" localSheetId="20" hidden="1">#REF!</definedName>
    <definedName name="XREF_COLUMN_30" localSheetId="18" hidden="1">#REF!</definedName>
    <definedName name="XREF_COLUMN_30" localSheetId="23" hidden="1">#REF!</definedName>
    <definedName name="XREF_COLUMN_30" localSheetId="19" hidden="1">#REF!</definedName>
    <definedName name="XREF_COLUMN_30" localSheetId="28" hidden="1">#REF!</definedName>
    <definedName name="XREF_COLUMN_30" localSheetId="27" hidden="1">#REF!</definedName>
    <definedName name="XREF_COLUMN_30" localSheetId="29" hidden="1">#REF!</definedName>
    <definedName name="XREF_COLUMN_30" localSheetId="30" hidden="1">#REF!</definedName>
    <definedName name="XREF_COLUMN_30" hidden="1">#REF!</definedName>
    <definedName name="XREF_COLUMN_4" localSheetId="14" hidden="1">#REF!</definedName>
    <definedName name="XREF_COLUMN_4" localSheetId="7" hidden="1">#REF!</definedName>
    <definedName name="XREF_COLUMN_4" localSheetId="17" hidden="1">#REF!</definedName>
    <definedName name="XREF_COLUMN_4" localSheetId="20" hidden="1">#REF!</definedName>
    <definedName name="XREF_COLUMN_4" localSheetId="18" hidden="1">#REF!</definedName>
    <definedName name="XREF_COLUMN_4" localSheetId="23" hidden="1">#REF!</definedName>
    <definedName name="XREF_COLUMN_4" localSheetId="19" hidden="1">#REF!</definedName>
    <definedName name="XREF_COLUMN_4" localSheetId="28" hidden="1">#REF!</definedName>
    <definedName name="XREF_COLUMN_4" localSheetId="27" hidden="1">#REF!</definedName>
    <definedName name="XREF_COLUMN_4" localSheetId="29" hidden="1">#REF!</definedName>
    <definedName name="XREF_COLUMN_4" localSheetId="30" hidden="1">#REF!</definedName>
    <definedName name="XREF_COLUMN_4" hidden="1">#REF!</definedName>
    <definedName name="XREF_COLUMN_5" localSheetId="14" hidden="1">#REF!</definedName>
    <definedName name="XREF_COLUMN_5" localSheetId="7" hidden="1">#REF!</definedName>
    <definedName name="XREF_COLUMN_5" localSheetId="17" hidden="1">#REF!</definedName>
    <definedName name="XREF_COLUMN_5" localSheetId="20" hidden="1">#REF!</definedName>
    <definedName name="XREF_COLUMN_5" localSheetId="18" hidden="1">#REF!</definedName>
    <definedName name="XREF_COLUMN_5" localSheetId="23" hidden="1">#REF!</definedName>
    <definedName name="XREF_COLUMN_5" localSheetId="19" hidden="1">#REF!</definedName>
    <definedName name="XREF_COLUMN_5" localSheetId="28" hidden="1">#REF!</definedName>
    <definedName name="XREF_COLUMN_5" localSheetId="27" hidden="1">#REF!</definedName>
    <definedName name="XREF_COLUMN_5" localSheetId="29" hidden="1">#REF!</definedName>
    <definedName name="XREF_COLUMN_5" localSheetId="30" hidden="1">#REF!</definedName>
    <definedName name="XREF_COLUMN_5" hidden="1">#REF!</definedName>
    <definedName name="XREF_COLUMN_6" localSheetId="14" hidden="1">#REF!</definedName>
    <definedName name="XREF_COLUMN_6" localSheetId="7" hidden="1">#REF!</definedName>
    <definedName name="XREF_COLUMN_6" localSheetId="17" hidden="1">#REF!</definedName>
    <definedName name="XREF_COLUMN_6" localSheetId="20" hidden="1">#REF!</definedName>
    <definedName name="XREF_COLUMN_6" localSheetId="18" hidden="1">#REF!</definedName>
    <definedName name="XREF_COLUMN_6" localSheetId="23" hidden="1">#REF!</definedName>
    <definedName name="XREF_COLUMN_6" localSheetId="19" hidden="1">#REF!</definedName>
    <definedName name="XREF_COLUMN_6" localSheetId="28" hidden="1">#REF!</definedName>
    <definedName name="XREF_COLUMN_6" localSheetId="27" hidden="1">#REF!</definedName>
    <definedName name="XREF_COLUMN_6" localSheetId="29" hidden="1">#REF!</definedName>
    <definedName name="XREF_COLUMN_6" localSheetId="30" hidden="1">#REF!</definedName>
    <definedName name="XREF_COLUMN_6" hidden="1">#REF!</definedName>
    <definedName name="XREF_COLUMN_7" localSheetId="14" hidden="1">#REF!</definedName>
    <definedName name="XREF_COLUMN_7" localSheetId="7" hidden="1">#REF!</definedName>
    <definedName name="XREF_COLUMN_7" localSheetId="17" hidden="1">#REF!</definedName>
    <definedName name="XREF_COLUMN_7" localSheetId="20" hidden="1">#REF!</definedName>
    <definedName name="XREF_COLUMN_7" localSheetId="18" hidden="1">#REF!</definedName>
    <definedName name="XREF_COLUMN_7" localSheetId="23" hidden="1">#REF!</definedName>
    <definedName name="XREF_COLUMN_7" localSheetId="19" hidden="1">#REF!</definedName>
    <definedName name="XREF_COLUMN_7" localSheetId="28" hidden="1">#REF!</definedName>
    <definedName name="XREF_COLUMN_7" localSheetId="27" hidden="1">#REF!</definedName>
    <definedName name="XREF_COLUMN_7" localSheetId="29" hidden="1">#REF!</definedName>
    <definedName name="XREF_COLUMN_7" localSheetId="30" hidden="1">#REF!</definedName>
    <definedName name="XREF_COLUMN_7" hidden="1">#REF!</definedName>
    <definedName name="XREF_COLUMN_8" localSheetId="14" hidden="1">#REF!</definedName>
    <definedName name="XREF_COLUMN_8" localSheetId="7" hidden="1">#REF!</definedName>
    <definedName name="XREF_COLUMN_8" localSheetId="17" hidden="1">#REF!</definedName>
    <definedName name="XREF_COLUMN_8" localSheetId="20" hidden="1">#REF!</definedName>
    <definedName name="XREF_COLUMN_8" localSheetId="18" hidden="1">#REF!</definedName>
    <definedName name="XREF_COLUMN_8" localSheetId="23" hidden="1">#REF!</definedName>
    <definedName name="XREF_COLUMN_8" localSheetId="19" hidden="1">#REF!</definedName>
    <definedName name="XREF_COLUMN_8" localSheetId="28" hidden="1">#REF!</definedName>
    <definedName name="XREF_COLUMN_8" localSheetId="27" hidden="1">#REF!</definedName>
    <definedName name="XREF_COLUMN_8" localSheetId="29" hidden="1">#REF!</definedName>
    <definedName name="XREF_COLUMN_8" localSheetId="30" hidden="1">#REF!</definedName>
    <definedName name="XREF_COLUMN_8" hidden="1">#REF!</definedName>
    <definedName name="XREF_COLUMN_9" localSheetId="14" hidden="1">#REF!</definedName>
    <definedName name="XREF_COLUMN_9" localSheetId="7" hidden="1">#REF!</definedName>
    <definedName name="XREF_COLUMN_9" localSheetId="17" hidden="1">#REF!</definedName>
    <definedName name="XREF_COLUMN_9" localSheetId="20" hidden="1">#REF!</definedName>
    <definedName name="XREF_COLUMN_9" localSheetId="18" hidden="1">#REF!</definedName>
    <definedName name="XREF_COLUMN_9" localSheetId="23" hidden="1">#REF!</definedName>
    <definedName name="XREF_COLUMN_9" localSheetId="19" hidden="1">#REF!</definedName>
    <definedName name="XREF_COLUMN_9" localSheetId="28" hidden="1">#REF!</definedName>
    <definedName name="XREF_COLUMN_9" localSheetId="27" hidden="1">#REF!</definedName>
    <definedName name="XREF_COLUMN_9" localSheetId="29" hidden="1">#REF!</definedName>
    <definedName name="XREF_COLUMN_9" localSheetId="30" hidden="1">#REF!</definedName>
    <definedName name="XREF_COLUMN_9" hidden="1">#REF!</definedName>
    <definedName name="XRefActiveRow" localSheetId="14" hidden="1">#REF!</definedName>
    <definedName name="XRefActiveRow" localSheetId="7" hidden="1">#REF!</definedName>
    <definedName name="XRefActiveRow" localSheetId="17" hidden="1">#REF!</definedName>
    <definedName name="XRefActiveRow" localSheetId="20" hidden="1">#REF!</definedName>
    <definedName name="XRefActiveRow" localSheetId="18" hidden="1">#REF!</definedName>
    <definedName name="XRefActiveRow" localSheetId="23" hidden="1">#REF!</definedName>
    <definedName name="XRefActiveRow" localSheetId="19" hidden="1">#REF!</definedName>
    <definedName name="XRefActiveRow" localSheetId="28" hidden="1">#REF!</definedName>
    <definedName name="XRefActiveRow" localSheetId="27" hidden="1">#REF!</definedName>
    <definedName name="XRefActiveRow" localSheetId="29" hidden="1">#REF!</definedName>
    <definedName name="XRefActiveRow" localSheetId="30" hidden="1">#REF!</definedName>
    <definedName name="XRefActiveRow" hidden="1">#REF!</definedName>
    <definedName name="XRefColumnsCount" hidden="1">7</definedName>
    <definedName name="XRefCopy1" localSheetId="14" hidden="1">#REF!</definedName>
    <definedName name="XRefCopy1" localSheetId="7" hidden="1">#REF!</definedName>
    <definedName name="XRefCopy1" localSheetId="17" hidden="1">#REF!</definedName>
    <definedName name="XRefCopy1" localSheetId="20" hidden="1">#REF!</definedName>
    <definedName name="XRefCopy1" localSheetId="18" hidden="1">#REF!</definedName>
    <definedName name="XRefCopy1" localSheetId="23" hidden="1">#REF!</definedName>
    <definedName name="XRefCopy1" localSheetId="19" hidden="1">#REF!</definedName>
    <definedName name="XRefCopy1" localSheetId="28" hidden="1">#REF!</definedName>
    <definedName name="XRefCopy1" localSheetId="27" hidden="1">#REF!</definedName>
    <definedName name="XRefCopy1" localSheetId="29" hidden="1">#REF!</definedName>
    <definedName name="XRefCopy1" localSheetId="30" hidden="1">#REF!</definedName>
    <definedName name="XRefCopy1" hidden="1">#REF!</definedName>
    <definedName name="XRefCopy10" localSheetId="14" hidden="1">#REF!</definedName>
    <definedName name="XRefCopy10" localSheetId="7" hidden="1">#REF!</definedName>
    <definedName name="XRefCopy10" localSheetId="17" hidden="1">#REF!</definedName>
    <definedName name="XRefCopy10" localSheetId="20" hidden="1">#REF!</definedName>
    <definedName name="XRefCopy10" localSheetId="18" hidden="1">#REF!</definedName>
    <definedName name="XRefCopy10" localSheetId="23" hidden="1">#REF!</definedName>
    <definedName name="XRefCopy10" localSheetId="19" hidden="1">#REF!</definedName>
    <definedName name="XRefCopy10" localSheetId="28" hidden="1">#REF!</definedName>
    <definedName name="XRefCopy10" localSheetId="27" hidden="1">#REF!</definedName>
    <definedName name="XRefCopy10" localSheetId="29" hidden="1">#REF!</definedName>
    <definedName name="XRefCopy10" localSheetId="30" hidden="1">#REF!</definedName>
    <definedName name="XRefCopy10" hidden="1">#REF!</definedName>
    <definedName name="XRefCopy10Row" localSheetId="14" hidden="1">#REF!</definedName>
    <definedName name="XRefCopy10Row" localSheetId="7" hidden="1">#REF!</definedName>
    <definedName name="XRefCopy10Row" localSheetId="17" hidden="1">#REF!</definedName>
    <definedName name="XRefCopy10Row" localSheetId="20" hidden="1">#REF!</definedName>
    <definedName name="XRefCopy10Row" localSheetId="18" hidden="1">#REF!</definedName>
    <definedName name="XRefCopy10Row" localSheetId="23" hidden="1">#REF!</definedName>
    <definedName name="XRefCopy10Row" localSheetId="19" hidden="1">#REF!</definedName>
    <definedName name="XRefCopy10Row" localSheetId="28" hidden="1">#REF!</definedName>
    <definedName name="XRefCopy10Row" localSheetId="27" hidden="1">#REF!</definedName>
    <definedName name="XRefCopy10Row" localSheetId="29" hidden="1">#REF!</definedName>
    <definedName name="XRefCopy10Row" localSheetId="30" hidden="1">#REF!</definedName>
    <definedName name="XRefCopy10Row" hidden="1">#REF!</definedName>
    <definedName name="XRefCopy11" localSheetId="14" hidden="1">#REF!</definedName>
    <definedName name="XRefCopy11" localSheetId="7" hidden="1">#REF!</definedName>
    <definedName name="XRefCopy11" localSheetId="17" hidden="1">#REF!</definedName>
    <definedName name="XRefCopy11" localSheetId="20" hidden="1">#REF!</definedName>
    <definedName name="XRefCopy11" localSheetId="18" hidden="1">#REF!</definedName>
    <definedName name="XRefCopy11" localSheetId="23" hidden="1">#REF!</definedName>
    <definedName name="XRefCopy11" localSheetId="19" hidden="1">#REF!</definedName>
    <definedName name="XRefCopy11" localSheetId="28" hidden="1">#REF!</definedName>
    <definedName name="XRefCopy11" localSheetId="27" hidden="1">#REF!</definedName>
    <definedName name="XRefCopy11" localSheetId="29" hidden="1">#REF!</definedName>
    <definedName name="XRefCopy11" localSheetId="30" hidden="1">#REF!</definedName>
    <definedName name="XRefCopy11" hidden="1">#REF!</definedName>
    <definedName name="XRefCopy11Row" localSheetId="14" hidden="1">#REF!</definedName>
    <definedName name="XRefCopy11Row" localSheetId="7" hidden="1">#REF!</definedName>
    <definedName name="XRefCopy11Row" localSheetId="17" hidden="1">#REF!</definedName>
    <definedName name="XRefCopy11Row" localSheetId="20" hidden="1">#REF!</definedName>
    <definedName name="XRefCopy11Row" localSheetId="18" hidden="1">#REF!</definedName>
    <definedName name="XRefCopy11Row" localSheetId="23" hidden="1">#REF!</definedName>
    <definedName name="XRefCopy11Row" localSheetId="19" hidden="1">#REF!</definedName>
    <definedName name="XRefCopy11Row" localSheetId="28" hidden="1">#REF!</definedName>
    <definedName name="XRefCopy11Row" localSheetId="27" hidden="1">#REF!</definedName>
    <definedName name="XRefCopy11Row" localSheetId="29" hidden="1">#REF!</definedName>
    <definedName name="XRefCopy11Row" localSheetId="30" hidden="1">#REF!</definedName>
    <definedName name="XRefCopy11Row" hidden="1">#REF!</definedName>
    <definedName name="XRefCopy12" localSheetId="14" hidden="1">#REF!</definedName>
    <definedName name="XRefCopy12" localSheetId="7" hidden="1">#REF!</definedName>
    <definedName name="XRefCopy12" localSheetId="17" hidden="1">#REF!</definedName>
    <definedName name="XRefCopy12" localSheetId="20" hidden="1">#REF!</definedName>
    <definedName name="XRefCopy12" localSheetId="18" hidden="1">#REF!</definedName>
    <definedName name="XRefCopy12" localSheetId="23" hidden="1">#REF!</definedName>
    <definedName name="XRefCopy12" localSheetId="19" hidden="1">#REF!</definedName>
    <definedName name="XRefCopy12" localSheetId="28" hidden="1">#REF!</definedName>
    <definedName name="XRefCopy12" localSheetId="27" hidden="1">#REF!</definedName>
    <definedName name="XRefCopy12" localSheetId="29" hidden="1">#REF!</definedName>
    <definedName name="XRefCopy12" localSheetId="30" hidden="1">#REF!</definedName>
    <definedName name="XRefCopy12" hidden="1">#REF!</definedName>
    <definedName name="XRefCopy12Row" localSheetId="14" hidden="1">#REF!</definedName>
    <definedName name="XRefCopy12Row" localSheetId="7" hidden="1">#REF!</definedName>
    <definedName name="XRefCopy12Row" localSheetId="17" hidden="1">#REF!</definedName>
    <definedName name="XRefCopy12Row" localSheetId="20" hidden="1">#REF!</definedName>
    <definedName name="XRefCopy12Row" localSheetId="18" hidden="1">#REF!</definedName>
    <definedName name="XRefCopy12Row" localSheetId="23" hidden="1">#REF!</definedName>
    <definedName name="XRefCopy12Row" localSheetId="19" hidden="1">#REF!</definedName>
    <definedName name="XRefCopy12Row" localSheetId="28" hidden="1">#REF!</definedName>
    <definedName name="XRefCopy12Row" localSheetId="27" hidden="1">#REF!</definedName>
    <definedName name="XRefCopy12Row" localSheetId="29" hidden="1">#REF!</definedName>
    <definedName name="XRefCopy12Row" localSheetId="30" hidden="1">#REF!</definedName>
    <definedName name="XRefCopy12Row" hidden="1">#REF!</definedName>
    <definedName name="XRefCopy13" localSheetId="14" hidden="1">#REF!</definedName>
    <definedName name="XRefCopy13" localSheetId="7" hidden="1">#REF!</definedName>
    <definedName name="XRefCopy13" localSheetId="17" hidden="1">#REF!</definedName>
    <definedName name="XRefCopy13" localSheetId="20" hidden="1">#REF!</definedName>
    <definedName name="XRefCopy13" localSheetId="18" hidden="1">#REF!</definedName>
    <definedName name="XRefCopy13" localSheetId="23" hidden="1">#REF!</definedName>
    <definedName name="XRefCopy13" localSheetId="19" hidden="1">#REF!</definedName>
    <definedName name="XRefCopy13" localSheetId="28" hidden="1">#REF!</definedName>
    <definedName name="XRefCopy13" localSheetId="27" hidden="1">#REF!</definedName>
    <definedName name="XRefCopy13" localSheetId="29" hidden="1">#REF!</definedName>
    <definedName name="XRefCopy13" localSheetId="30" hidden="1">#REF!</definedName>
    <definedName name="XRefCopy13" hidden="1">#REF!</definedName>
    <definedName name="XRefCopy13Row" localSheetId="14" hidden="1">#REF!</definedName>
    <definedName name="XRefCopy13Row" localSheetId="7" hidden="1">#REF!</definedName>
    <definedName name="XRefCopy13Row" localSheetId="17" hidden="1">#REF!</definedName>
    <definedName name="XRefCopy13Row" localSheetId="20" hidden="1">#REF!</definedName>
    <definedName name="XRefCopy13Row" localSheetId="18" hidden="1">#REF!</definedName>
    <definedName name="XRefCopy13Row" localSheetId="23" hidden="1">#REF!</definedName>
    <definedName name="XRefCopy13Row" localSheetId="19" hidden="1">#REF!</definedName>
    <definedName name="XRefCopy13Row" localSheetId="28" hidden="1">#REF!</definedName>
    <definedName name="XRefCopy13Row" localSheetId="27" hidden="1">#REF!</definedName>
    <definedName name="XRefCopy13Row" localSheetId="29" hidden="1">#REF!</definedName>
    <definedName name="XRefCopy13Row" localSheetId="30" hidden="1">#REF!</definedName>
    <definedName name="XRefCopy13Row" hidden="1">#REF!</definedName>
    <definedName name="XRefCopy14" localSheetId="14" hidden="1">#REF!</definedName>
    <definedName name="XRefCopy14" localSheetId="7" hidden="1">#REF!</definedName>
    <definedName name="XRefCopy14" localSheetId="17" hidden="1">#REF!</definedName>
    <definedName name="XRefCopy14" localSheetId="20" hidden="1">#REF!</definedName>
    <definedName name="XRefCopy14" localSheetId="18" hidden="1">#REF!</definedName>
    <definedName name="XRefCopy14" localSheetId="23" hidden="1">#REF!</definedName>
    <definedName name="XRefCopy14" localSheetId="19" hidden="1">#REF!</definedName>
    <definedName name="XRefCopy14" localSheetId="28" hidden="1">#REF!</definedName>
    <definedName name="XRefCopy14" localSheetId="27" hidden="1">#REF!</definedName>
    <definedName name="XRefCopy14" localSheetId="29" hidden="1">#REF!</definedName>
    <definedName name="XRefCopy14" localSheetId="30" hidden="1">#REF!</definedName>
    <definedName name="XRefCopy14" hidden="1">#REF!</definedName>
    <definedName name="XRefCopy14Row" localSheetId="14" hidden="1">#REF!</definedName>
    <definedName name="XRefCopy14Row" localSheetId="7" hidden="1">#REF!</definedName>
    <definedName name="XRefCopy14Row" localSheetId="17" hidden="1">#REF!</definedName>
    <definedName name="XRefCopy14Row" localSheetId="20" hidden="1">#REF!</definedName>
    <definedName name="XRefCopy14Row" localSheetId="18" hidden="1">#REF!</definedName>
    <definedName name="XRefCopy14Row" localSheetId="23" hidden="1">#REF!</definedName>
    <definedName name="XRefCopy14Row" localSheetId="19" hidden="1">#REF!</definedName>
    <definedName name="XRefCopy14Row" localSheetId="28" hidden="1">#REF!</definedName>
    <definedName name="XRefCopy14Row" localSheetId="27" hidden="1">#REF!</definedName>
    <definedName name="XRefCopy14Row" localSheetId="29" hidden="1">#REF!</definedName>
    <definedName name="XRefCopy14Row" localSheetId="30" hidden="1">#REF!</definedName>
    <definedName name="XRefCopy14Row" hidden="1">#REF!</definedName>
    <definedName name="XRefCopy15" localSheetId="14" hidden="1">#REF!</definedName>
    <definedName name="XRefCopy15" localSheetId="7" hidden="1">#REF!</definedName>
    <definedName name="XRefCopy15" localSheetId="17" hidden="1">#REF!</definedName>
    <definedName name="XRefCopy15" localSheetId="20" hidden="1">#REF!</definedName>
    <definedName name="XRefCopy15" localSheetId="18" hidden="1">#REF!</definedName>
    <definedName name="XRefCopy15" localSheetId="23" hidden="1">#REF!</definedName>
    <definedName name="XRefCopy15" localSheetId="19" hidden="1">#REF!</definedName>
    <definedName name="XRefCopy15" localSheetId="28" hidden="1">#REF!</definedName>
    <definedName name="XRefCopy15" localSheetId="27" hidden="1">#REF!</definedName>
    <definedName name="XRefCopy15" localSheetId="29" hidden="1">#REF!</definedName>
    <definedName name="XRefCopy15" localSheetId="30" hidden="1">#REF!</definedName>
    <definedName name="XRefCopy15" hidden="1">#REF!</definedName>
    <definedName name="XRefCopy15Row" localSheetId="14" hidden="1">#REF!</definedName>
    <definedName name="XRefCopy15Row" localSheetId="7" hidden="1">#REF!</definedName>
    <definedName name="XRefCopy15Row" localSheetId="17" hidden="1">#REF!</definedName>
    <definedName name="XRefCopy15Row" localSheetId="20" hidden="1">#REF!</definedName>
    <definedName name="XRefCopy15Row" localSheetId="18" hidden="1">#REF!</definedName>
    <definedName name="XRefCopy15Row" localSheetId="23" hidden="1">#REF!</definedName>
    <definedName name="XRefCopy15Row" localSheetId="19" hidden="1">#REF!</definedName>
    <definedName name="XRefCopy15Row" localSheetId="28" hidden="1">#REF!</definedName>
    <definedName name="XRefCopy15Row" localSheetId="27" hidden="1">#REF!</definedName>
    <definedName name="XRefCopy15Row" localSheetId="29" hidden="1">#REF!</definedName>
    <definedName name="XRefCopy15Row" localSheetId="30" hidden="1">#REF!</definedName>
    <definedName name="XRefCopy15Row" hidden="1">#REF!</definedName>
    <definedName name="XRefCopy16" localSheetId="14" hidden="1">#REF!</definedName>
    <definedName name="XRefCopy16" localSheetId="7" hidden="1">#REF!</definedName>
    <definedName name="XRefCopy16" localSheetId="17" hidden="1">#REF!</definedName>
    <definedName name="XRefCopy16" localSheetId="20" hidden="1">#REF!</definedName>
    <definedName name="XRefCopy16" localSheetId="18" hidden="1">#REF!</definedName>
    <definedName name="XRefCopy16" localSheetId="23" hidden="1">#REF!</definedName>
    <definedName name="XRefCopy16" localSheetId="19" hidden="1">#REF!</definedName>
    <definedName name="XRefCopy16" localSheetId="28" hidden="1">#REF!</definedName>
    <definedName name="XRefCopy16" localSheetId="27" hidden="1">#REF!</definedName>
    <definedName name="XRefCopy16" localSheetId="29" hidden="1">#REF!</definedName>
    <definedName name="XRefCopy16" localSheetId="30" hidden="1">#REF!</definedName>
    <definedName name="XRefCopy16" hidden="1">#REF!</definedName>
    <definedName name="XRefCopy16Row" localSheetId="14" hidden="1">#REF!</definedName>
    <definedName name="XRefCopy16Row" localSheetId="7" hidden="1">#REF!</definedName>
    <definedName name="XRefCopy16Row" localSheetId="17" hidden="1">#REF!</definedName>
    <definedName name="XRefCopy16Row" localSheetId="20" hidden="1">#REF!</definedName>
    <definedName name="XRefCopy16Row" localSheetId="18" hidden="1">#REF!</definedName>
    <definedName name="XRefCopy16Row" localSheetId="23" hidden="1">#REF!</definedName>
    <definedName name="XRefCopy16Row" localSheetId="19" hidden="1">#REF!</definedName>
    <definedName name="XRefCopy16Row" localSheetId="28" hidden="1">#REF!</definedName>
    <definedName name="XRefCopy16Row" localSheetId="27" hidden="1">#REF!</definedName>
    <definedName name="XRefCopy16Row" localSheetId="29" hidden="1">#REF!</definedName>
    <definedName name="XRefCopy16Row" localSheetId="30" hidden="1">#REF!</definedName>
    <definedName name="XRefCopy16Row" hidden="1">#REF!</definedName>
    <definedName name="XRefCopy17" localSheetId="14" hidden="1">#REF!</definedName>
    <definedName name="XRefCopy17" localSheetId="7" hidden="1">#REF!</definedName>
    <definedName name="XRefCopy17" localSheetId="17" hidden="1">#REF!</definedName>
    <definedName name="XRefCopy17" localSheetId="20" hidden="1">#REF!</definedName>
    <definedName name="XRefCopy17" localSheetId="18" hidden="1">#REF!</definedName>
    <definedName name="XRefCopy17" localSheetId="23" hidden="1">#REF!</definedName>
    <definedName name="XRefCopy17" localSheetId="19" hidden="1">#REF!</definedName>
    <definedName name="XRefCopy17" localSheetId="28" hidden="1">#REF!</definedName>
    <definedName name="XRefCopy17" localSheetId="27" hidden="1">#REF!</definedName>
    <definedName name="XRefCopy17" localSheetId="29" hidden="1">#REF!</definedName>
    <definedName name="XRefCopy17" localSheetId="30" hidden="1">#REF!</definedName>
    <definedName name="XRefCopy17" hidden="1">#REF!</definedName>
    <definedName name="XRefCopy17Row" localSheetId="14" hidden="1">#REF!</definedName>
    <definedName name="XRefCopy17Row" localSheetId="7" hidden="1">#REF!</definedName>
    <definedName name="XRefCopy17Row" localSheetId="17" hidden="1">#REF!</definedName>
    <definedName name="XRefCopy17Row" localSheetId="20" hidden="1">#REF!</definedName>
    <definedName name="XRefCopy17Row" localSheetId="18" hidden="1">#REF!</definedName>
    <definedName name="XRefCopy17Row" localSheetId="23" hidden="1">#REF!</definedName>
    <definedName name="XRefCopy17Row" localSheetId="19" hidden="1">#REF!</definedName>
    <definedName name="XRefCopy17Row" localSheetId="28" hidden="1">#REF!</definedName>
    <definedName name="XRefCopy17Row" localSheetId="27" hidden="1">#REF!</definedName>
    <definedName name="XRefCopy17Row" localSheetId="29" hidden="1">#REF!</definedName>
    <definedName name="XRefCopy17Row" localSheetId="30" hidden="1">#REF!</definedName>
    <definedName name="XRefCopy17Row" hidden="1">#REF!</definedName>
    <definedName name="XRefCopy18" localSheetId="14" hidden="1">#REF!</definedName>
    <definedName name="XRefCopy18" localSheetId="7" hidden="1">#REF!</definedName>
    <definedName name="XRefCopy18" localSheetId="17" hidden="1">#REF!</definedName>
    <definedName name="XRefCopy18" localSheetId="20" hidden="1">#REF!</definedName>
    <definedName name="XRefCopy18" localSheetId="18" hidden="1">#REF!</definedName>
    <definedName name="XRefCopy18" localSheetId="23" hidden="1">#REF!</definedName>
    <definedName name="XRefCopy18" localSheetId="19" hidden="1">#REF!</definedName>
    <definedName name="XRefCopy18" localSheetId="28" hidden="1">#REF!</definedName>
    <definedName name="XRefCopy18" localSheetId="27" hidden="1">#REF!</definedName>
    <definedName name="XRefCopy18" localSheetId="29" hidden="1">#REF!</definedName>
    <definedName name="XRefCopy18" localSheetId="30" hidden="1">#REF!</definedName>
    <definedName name="XRefCopy18" hidden="1">#REF!</definedName>
    <definedName name="XRefCopy18Row" localSheetId="14" hidden="1">#REF!</definedName>
    <definedName name="XRefCopy18Row" localSheetId="7" hidden="1">#REF!</definedName>
    <definedName name="XRefCopy18Row" localSheetId="17" hidden="1">#REF!</definedName>
    <definedName name="XRefCopy18Row" localSheetId="20" hidden="1">#REF!</definedName>
    <definedName name="XRefCopy18Row" localSheetId="18" hidden="1">#REF!</definedName>
    <definedName name="XRefCopy18Row" localSheetId="23" hidden="1">#REF!</definedName>
    <definedName name="XRefCopy18Row" localSheetId="19" hidden="1">#REF!</definedName>
    <definedName name="XRefCopy18Row" localSheetId="28" hidden="1">#REF!</definedName>
    <definedName name="XRefCopy18Row" localSheetId="27" hidden="1">#REF!</definedName>
    <definedName name="XRefCopy18Row" localSheetId="29" hidden="1">#REF!</definedName>
    <definedName name="XRefCopy18Row" localSheetId="30" hidden="1">#REF!</definedName>
    <definedName name="XRefCopy18Row" hidden="1">#REF!</definedName>
    <definedName name="XRefCopy19" localSheetId="14" hidden="1">[12]Movimiento!#REF!</definedName>
    <definedName name="XRefCopy19" localSheetId="7" hidden="1">[12]Movimiento!#REF!</definedName>
    <definedName name="XRefCopy19" localSheetId="17" hidden="1">[12]Movimiento!#REF!</definedName>
    <definedName name="XRefCopy19" localSheetId="20" hidden="1">[12]Movimiento!#REF!</definedName>
    <definedName name="XRefCopy19" localSheetId="18" hidden="1">[12]Movimiento!#REF!</definedName>
    <definedName name="XRefCopy19" localSheetId="23" hidden="1">[12]Movimiento!#REF!</definedName>
    <definedName name="XRefCopy19" localSheetId="19" hidden="1">[12]Movimiento!#REF!</definedName>
    <definedName name="XRefCopy19" localSheetId="28" hidden="1">[12]Movimiento!#REF!</definedName>
    <definedName name="XRefCopy19" localSheetId="27" hidden="1">[12]Movimiento!#REF!</definedName>
    <definedName name="XRefCopy19" localSheetId="29" hidden="1">[12]Movimiento!#REF!</definedName>
    <definedName name="XRefCopy19" localSheetId="30" hidden="1">[12]Movimiento!#REF!</definedName>
    <definedName name="XRefCopy19" hidden="1">[12]Movimiento!#REF!</definedName>
    <definedName name="XRefCopy19Row" localSheetId="14" hidden="1">#REF!</definedName>
    <definedName name="XRefCopy19Row" localSheetId="7" hidden="1">#REF!</definedName>
    <definedName name="XRefCopy19Row" localSheetId="17" hidden="1">#REF!</definedName>
    <definedName name="XRefCopy19Row" localSheetId="20" hidden="1">#REF!</definedName>
    <definedName name="XRefCopy19Row" localSheetId="18" hidden="1">#REF!</definedName>
    <definedName name="XRefCopy19Row" localSheetId="23" hidden="1">#REF!</definedName>
    <definedName name="XRefCopy19Row" localSheetId="19" hidden="1">#REF!</definedName>
    <definedName name="XRefCopy19Row" localSheetId="28" hidden="1">#REF!</definedName>
    <definedName name="XRefCopy19Row" localSheetId="27" hidden="1">#REF!</definedName>
    <definedName name="XRefCopy19Row" localSheetId="29" hidden="1">#REF!</definedName>
    <definedName name="XRefCopy19Row" localSheetId="30" hidden="1">#REF!</definedName>
    <definedName name="XRefCopy19Row" hidden="1">#REF!</definedName>
    <definedName name="XRefCopy1Row" localSheetId="14" hidden="1">#REF!</definedName>
    <definedName name="XRefCopy1Row" localSheetId="7" hidden="1">#REF!</definedName>
    <definedName name="XRefCopy1Row" localSheetId="17" hidden="1">#REF!</definedName>
    <definedName name="XRefCopy1Row" localSheetId="20" hidden="1">#REF!</definedName>
    <definedName name="XRefCopy1Row" localSheetId="18" hidden="1">#REF!</definedName>
    <definedName name="XRefCopy1Row" localSheetId="23" hidden="1">#REF!</definedName>
    <definedName name="XRefCopy1Row" localSheetId="19" hidden="1">#REF!</definedName>
    <definedName name="XRefCopy1Row" localSheetId="28" hidden="1">#REF!</definedName>
    <definedName name="XRefCopy1Row" localSheetId="27" hidden="1">#REF!</definedName>
    <definedName name="XRefCopy1Row" localSheetId="29" hidden="1">#REF!</definedName>
    <definedName name="XRefCopy1Row" localSheetId="30" hidden="1">#REF!</definedName>
    <definedName name="XRefCopy1Row" hidden="1">#REF!</definedName>
    <definedName name="XRefCopy2" localSheetId="14" hidden="1">#REF!</definedName>
    <definedName name="XRefCopy2" localSheetId="7" hidden="1">#REF!</definedName>
    <definedName name="XRefCopy2" localSheetId="17" hidden="1">#REF!</definedName>
    <definedName name="XRefCopy2" localSheetId="20" hidden="1">#REF!</definedName>
    <definedName name="XRefCopy2" localSheetId="18" hidden="1">#REF!</definedName>
    <definedName name="XRefCopy2" localSheetId="23" hidden="1">#REF!</definedName>
    <definedName name="XRefCopy2" localSheetId="19" hidden="1">#REF!</definedName>
    <definedName name="XRefCopy2" localSheetId="28" hidden="1">#REF!</definedName>
    <definedName name="XRefCopy2" localSheetId="27" hidden="1">#REF!</definedName>
    <definedName name="XRefCopy2" localSheetId="29" hidden="1">#REF!</definedName>
    <definedName name="XRefCopy2" localSheetId="30" hidden="1">#REF!</definedName>
    <definedName name="XRefCopy2" hidden="1">#REF!</definedName>
    <definedName name="XRefCopy20" localSheetId="14" hidden="1">[12]Movimiento!#REF!</definedName>
    <definedName name="XRefCopy20" localSheetId="7" hidden="1">[12]Movimiento!#REF!</definedName>
    <definedName name="XRefCopy20" localSheetId="17" hidden="1">[12]Movimiento!#REF!</definedName>
    <definedName name="XRefCopy20" localSheetId="20" hidden="1">[12]Movimiento!#REF!</definedName>
    <definedName name="XRefCopy20" localSheetId="18" hidden="1">[12]Movimiento!#REF!</definedName>
    <definedName name="XRefCopy20" localSheetId="23" hidden="1">[12]Movimiento!#REF!</definedName>
    <definedName name="XRefCopy20" localSheetId="19" hidden="1">[12]Movimiento!#REF!</definedName>
    <definedName name="XRefCopy20" localSheetId="28" hidden="1">[12]Movimiento!#REF!</definedName>
    <definedName name="XRefCopy20" localSheetId="27" hidden="1">[12]Movimiento!#REF!</definedName>
    <definedName name="XRefCopy20" localSheetId="29" hidden="1">[12]Movimiento!#REF!</definedName>
    <definedName name="XRefCopy20" localSheetId="30" hidden="1">[12]Movimiento!#REF!</definedName>
    <definedName name="XRefCopy20" hidden="1">[12]Movimiento!#REF!</definedName>
    <definedName name="XRefCopy20Row" localSheetId="14" hidden="1">#REF!</definedName>
    <definedName name="XRefCopy20Row" localSheetId="7" hidden="1">#REF!</definedName>
    <definedName name="XRefCopy20Row" localSheetId="17" hidden="1">#REF!</definedName>
    <definedName name="XRefCopy20Row" localSheetId="20" hidden="1">#REF!</definedName>
    <definedName name="XRefCopy20Row" localSheetId="18" hidden="1">#REF!</definedName>
    <definedName name="XRefCopy20Row" localSheetId="23" hidden="1">#REF!</definedName>
    <definedName name="XRefCopy20Row" localSheetId="19" hidden="1">#REF!</definedName>
    <definedName name="XRefCopy20Row" localSheetId="28" hidden="1">#REF!</definedName>
    <definedName name="XRefCopy20Row" localSheetId="27" hidden="1">#REF!</definedName>
    <definedName name="XRefCopy20Row" localSheetId="29" hidden="1">#REF!</definedName>
    <definedName name="XRefCopy20Row" localSheetId="30" hidden="1">#REF!</definedName>
    <definedName name="XRefCopy20Row" hidden="1">#REF!</definedName>
    <definedName name="XRefCopy21" localSheetId="14" hidden="1">[12]Movimiento!#REF!</definedName>
    <definedName name="XRefCopy21" localSheetId="7" hidden="1">[12]Movimiento!#REF!</definedName>
    <definedName name="XRefCopy21" localSheetId="17" hidden="1">[12]Movimiento!#REF!</definedName>
    <definedName name="XRefCopy21" localSheetId="20" hidden="1">[12]Movimiento!#REF!</definedName>
    <definedName name="XRefCopy21" localSheetId="18" hidden="1">[12]Movimiento!#REF!</definedName>
    <definedName name="XRefCopy21" localSheetId="23" hidden="1">[12]Movimiento!#REF!</definedName>
    <definedName name="XRefCopy21" localSheetId="19" hidden="1">[12]Movimiento!#REF!</definedName>
    <definedName name="XRefCopy21" localSheetId="28" hidden="1">[12]Movimiento!#REF!</definedName>
    <definedName name="XRefCopy21" localSheetId="27" hidden="1">[12]Movimiento!#REF!</definedName>
    <definedName name="XRefCopy21" localSheetId="29" hidden="1">[12]Movimiento!#REF!</definedName>
    <definedName name="XRefCopy21" localSheetId="30" hidden="1">[12]Movimiento!#REF!</definedName>
    <definedName name="XRefCopy21" hidden="1">[12]Movimiento!#REF!</definedName>
    <definedName name="XRefCopy21Row" localSheetId="14" hidden="1">#REF!</definedName>
    <definedName name="XRefCopy21Row" localSheetId="7" hidden="1">#REF!</definedName>
    <definedName name="XRefCopy21Row" localSheetId="17" hidden="1">#REF!</definedName>
    <definedName name="XRefCopy21Row" localSheetId="20" hidden="1">#REF!</definedName>
    <definedName name="XRefCopy21Row" localSheetId="18" hidden="1">#REF!</definedName>
    <definedName name="XRefCopy21Row" localSheetId="23" hidden="1">#REF!</definedName>
    <definedName name="XRefCopy21Row" localSheetId="19" hidden="1">#REF!</definedName>
    <definedName name="XRefCopy21Row" localSheetId="28" hidden="1">#REF!</definedName>
    <definedName name="XRefCopy21Row" localSheetId="27" hidden="1">#REF!</definedName>
    <definedName name="XRefCopy21Row" localSheetId="29" hidden="1">#REF!</definedName>
    <definedName name="XRefCopy21Row" localSheetId="30" hidden="1">#REF!</definedName>
    <definedName name="XRefCopy21Row" hidden="1">#REF!</definedName>
    <definedName name="XRefCopy22" localSheetId="14" hidden="1">[12]Movimiento!#REF!</definedName>
    <definedName name="XRefCopy22" localSheetId="7" hidden="1">[12]Movimiento!#REF!</definedName>
    <definedName name="XRefCopy22" localSheetId="17" hidden="1">[12]Movimiento!#REF!</definedName>
    <definedName name="XRefCopy22" localSheetId="20" hidden="1">[12]Movimiento!#REF!</definedName>
    <definedName name="XRefCopy22" localSheetId="18" hidden="1">[12]Movimiento!#REF!</definedName>
    <definedName name="XRefCopy22" localSheetId="23" hidden="1">[12]Movimiento!#REF!</definedName>
    <definedName name="XRefCopy22" localSheetId="19" hidden="1">[12]Movimiento!#REF!</definedName>
    <definedName name="XRefCopy22" localSheetId="28" hidden="1">[12]Movimiento!#REF!</definedName>
    <definedName name="XRefCopy22" localSheetId="27" hidden="1">[12]Movimiento!#REF!</definedName>
    <definedName name="XRefCopy22" localSheetId="29" hidden="1">[12]Movimiento!#REF!</definedName>
    <definedName name="XRefCopy22" localSheetId="30" hidden="1">[12]Movimiento!#REF!</definedName>
    <definedName name="XRefCopy22" hidden="1">[12]Movimiento!#REF!</definedName>
    <definedName name="XRefCopy22Row" localSheetId="14" hidden="1">#REF!</definedName>
    <definedName name="XRefCopy22Row" localSheetId="7" hidden="1">#REF!</definedName>
    <definedName name="XRefCopy22Row" localSheetId="17" hidden="1">#REF!</definedName>
    <definedName name="XRefCopy22Row" localSheetId="20" hidden="1">#REF!</definedName>
    <definedName name="XRefCopy22Row" localSheetId="18" hidden="1">#REF!</definedName>
    <definedName name="XRefCopy22Row" localSheetId="23" hidden="1">#REF!</definedName>
    <definedName name="XRefCopy22Row" localSheetId="19" hidden="1">#REF!</definedName>
    <definedName name="XRefCopy22Row" localSheetId="28" hidden="1">#REF!</definedName>
    <definedName name="XRefCopy22Row" localSheetId="27" hidden="1">#REF!</definedName>
    <definedName name="XRefCopy22Row" localSheetId="29" hidden="1">#REF!</definedName>
    <definedName name="XRefCopy22Row" localSheetId="30" hidden="1">#REF!</definedName>
    <definedName name="XRefCopy22Row" hidden="1">#REF!</definedName>
    <definedName name="XRefCopy23" localSheetId="14" hidden="1">[12]Movimiento!#REF!</definedName>
    <definedName name="XRefCopy23" localSheetId="7" hidden="1">[12]Movimiento!#REF!</definedName>
    <definedName name="XRefCopy23" localSheetId="17" hidden="1">[12]Movimiento!#REF!</definedName>
    <definedName name="XRefCopy23" localSheetId="20" hidden="1">[12]Movimiento!#REF!</definedName>
    <definedName name="XRefCopy23" localSheetId="18" hidden="1">[12]Movimiento!#REF!</definedName>
    <definedName name="XRefCopy23" localSheetId="23" hidden="1">[12]Movimiento!#REF!</definedName>
    <definedName name="XRefCopy23" localSheetId="19" hidden="1">[12]Movimiento!#REF!</definedName>
    <definedName name="XRefCopy23" localSheetId="28" hidden="1">[12]Movimiento!#REF!</definedName>
    <definedName name="XRefCopy23" localSheetId="27" hidden="1">[12]Movimiento!#REF!</definedName>
    <definedName name="XRefCopy23" localSheetId="29" hidden="1">[12]Movimiento!#REF!</definedName>
    <definedName name="XRefCopy23" localSheetId="30" hidden="1">[12]Movimiento!#REF!</definedName>
    <definedName name="XRefCopy23" hidden="1">[12]Movimiento!#REF!</definedName>
    <definedName name="XRefCopy23Row" localSheetId="14" hidden="1">#REF!</definedName>
    <definedName name="XRefCopy23Row" localSheetId="7" hidden="1">#REF!</definedName>
    <definedName name="XRefCopy23Row" localSheetId="17" hidden="1">#REF!</definedName>
    <definedName name="XRefCopy23Row" localSheetId="20" hidden="1">#REF!</definedName>
    <definedName name="XRefCopy23Row" localSheetId="18" hidden="1">#REF!</definedName>
    <definedName name="XRefCopy23Row" localSheetId="23" hidden="1">#REF!</definedName>
    <definedName name="XRefCopy23Row" localSheetId="19" hidden="1">#REF!</definedName>
    <definedName name="XRefCopy23Row" localSheetId="28" hidden="1">#REF!</definedName>
    <definedName name="XRefCopy23Row" localSheetId="27" hidden="1">#REF!</definedName>
    <definedName name="XRefCopy23Row" localSheetId="29" hidden="1">#REF!</definedName>
    <definedName name="XRefCopy23Row" localSheetId="30" hidden="1">#REF!</definedName>
    <definedName name="XRefCopy23Row" hidden="1">#REF!</definedName>
    <definedName name="XRefCopy24" localSheetId="14" hidden="1">'[12]Dep ejercicio'!#REF!</definedName>
    <definedName name="XRefCopy24" localSheetId="7" hidden="1">'[12]Dep ejercicio'!#REF!</definedName>
    <definedName name="XRefCopy24" localSheetId="17" hidden="1">'[12]Dep ejercicio'!#REF!</definedName>
    <definedName name="XRefCopy24" localSheetId="20" hidden="1">'[12]Dep ejercicio'!#REF!</definedName>
    <definedName name="XRefCopy24" localSheetId="18" hidden="1">'[12]Dep ejercicio'!#REF!</definedName>
    <definedName name="XRefCopy24" localSheetId="23" hidden="1">'[12]Dep ejercicio'!#REF!</definedName>
    <definedName name="XRefCopy24" localSheetId="19" hidden="1">'[12]Dep ejercicio'!#REF!</definedName>
    <definedName name="XRefCopy24" localSheetId="28" hidden="1">'[12]Dep ejercicio'!#REF!</definedName>
    <definedName name="XRefCopy24" localSheetId="27" hidden="1">'[12]Dep ejercicio'!#REF!</definedName>
    <definedName name="XRefCopy24" localSheetId="29" hidden="1">'[12]Dep ejercicio'!#REF!</definedName>
    <definedName name="XRefCopy24" localSheetId="30" hidden="1">'[12]Dep ejercicio'!#REF!</definedName>
    <definedName name="XRefCopy24" hidden="1">'[12]Dep ejercicio'!#REF!</definedName>
    <definedName name="XRefCopy24Row" localSheetId="14" hidden="1">#REF!</definedName>
    <definedName name="XRefCopy24Row" localSheetId="7" hidden="1">#REF!</definedName>
    <definedName name="XRefCopy24Row" localSheetId="17" hidden="1">#REF!</definedName>
    <definedName name="XRefCopy24Row" localSheetId="20" hidden="1">#REF!</definedName>
    <definedName name="XRefCopy24Row" localSheetId="18" hidden="1">#REF!</definedName>
    <definedName name="XRefCopy24Row" localSheetId="23" hidden="1">#REF!</definedName>
    <definedName name="XRefCopy24Row" localSheetId="19" hidden="1">#REF!</definedName>
    <definedName name="XRefCopy24Row" localSheetId="28" hidden="1">#REF!</definedName>
    <definedName name="XRefCopy24Row" localSheetId="27" hidden="1">#REF!</definedName>
    <definedName name="XRefCopy24Row" localSheetId="29" hidden="1">#REF!</definedName>
    <definedName name="XRefCopy24Row" localSheetId="30" hidden="1">#REF!</definedName>
    <definedName name="XRefCopy24Row" hidden="1">#REF!</definedName>
    <definedName name="XRefCopy25Row" localSheetId="14" hidden="1">#REF!</definedName>
    <definedName name="XRefCopy25Row" localSheetId="7" hidden="1">#REF!</definedName>
    <definedName name="XRefCopy25Row" localSheetId="17" hidden="1">#REF!</definedName>
    <definedName name="XRefCopy25Row" localSheetId="20" hidden="1">#REF!</definedName>
    <definedName name="XRefCopy25Row" localSheetId="18" hidden="1">#REF!</definedName>
    <definedName name="XRefCopy25Row" localSheetId="23" hidden="1">#REF!</definedName>
    <definedName name="XRefCopy25Row" localSheetId="19" hidden="1">#REF!</definedName>
    <definedName name="XRefCopy25Row" localSheetId="28" hidden="1">#REF!</definedName>
    <definedName name="XRefCopy25Row" localSheetId="27" hidden="1">#REF!</definedName>
    <definedName name="XRefCopy25Row" localSheetId="29" hidden="1">#REF!</definedName>
    <definedName name="XRefCopy25Row" localSheetId="30" hidden="1">#REF!</definedName>
    <definedName name="XRefCopy25Row" hidden="1">#REF!</definedName>
    <definedName name="XRefCopy26Row" localSheetId="14" hidden="1">#REF!</definedName>
    <definedName name="XRefCopy26Row" localSheetId="7" hidden="1">#REF!</definedName>
    <definedName name="XRefCopy26Row" localSheetId="17" hidden="1">#REF!</definedName>
    <definedName name="XRefCopy26Row" localSheetId="20" hidden="1">#REF!</definedName>
    <definedName name="XRefCopy26Row" localSheetId="18" hidden="1">#REF!</definedName>
    <definedName name="XRefCopy26Row" localSheetId="23" hidden="1">#REF!</definedName>
    <definedName name="XRefCopy26Row" localSheetId="19" hidden="1">#REF!</definedName>
    <definedName name="XRefCopy26Row" localSheetId="28" hidden="1">#REF!</definedName>
    <definedName name="XRefCopy26Row" localSheetId="27" hidden="1">#REF!</definedName>
    <definedName name="XRefCopy26Row" localSheetId="29" hidden="1">#REF!</definedName>
    <definedName name="XRefCopy26Row" localSheetId="30" hidden="1">#REF!</definedName>
    <definedName name="XRefCopy26Row" hidden="1">#REF!</definedName>
    <definedName name="XRefCopy27Row" localSheetId="14" hidden="1">#REF!</definedName>
    <definedName name="XRefCopy27Row" localSheetId="7" hidden="1">#REF!</definedName>
    <definedName name="XRefCopy27Row" localSheetId="17" hidden="1">#REF!</definedName>
    <definedName name="XRefCopy27Row" localSheetId="20" hidden="1">#REF!</definedName>
    <definedName name="XRefCopy27Row" localSheetId="18" hidden="1">#REF!</definedName>
    <definedName name="XRefCopy27Row" localSheetId="23" hidden="1">#REF!</definedName>
    <definedName name="XRefCopy27Row" localSheetId="19" hidden="1">#REF!</definedName>
    <definedName name="XRefCopy27Row" localSheetId="28" hidden="1">#REF!</definedName>
    <definedName name="XRefCopy27Row" localSheetId="27" hidden="1">#REF!</definedName>
    <definedName name="XRefCopy27Row" localSheetId="29" hidden="1">#REF!</definedName>
    <definedName name="XRefCopy27Row" localSheetId="30" hidden="1">#REF!</definedName>
    <definedName name="XRefCopy27Row" hidden="1">#REF!</definedName>
    <definedName name="XRefCopy28Row" localSheetId="14" hidden="1">#REF!</definedName>
    <definedName name="XRefCopy28Row" localSheetId="7" hidden="1">#REF!</definedName>
    <definedName name="XRefCopy28Row" localSheetId="17" hidden="1">#REF!</definedName>
    <definedName name="XRefCopy28Row" localSheetId="20" hidden="1">#REF!</definedName>
    <definedName name="XRefCopy28Row" localSheetId="18" hidden="1">#REF!</definedName>
    <definedName name="XRefCopy28Row" localSheetId="23" hidden="1">#REF!</definedName>
    <definedName name="XRefCopy28Row" localSheetId="19" hidden="1">#REF!</definedName>
    <definedName name="XRefCopy28Row" localSheetId="28" hidden="1">#REF!</definedName>
    <definedName name="XRefCopy28Row" localSheetId="27" hidden="1">#REF!</definedName>
    <definedName name="XRefCopy28Row" localSheetId="29" hidden="1">#REF!</definedName>
    <definedName name="XRefCopy28Row" localSheetId="30" hidden="1">#REF!</definedName>
    <definedName name="XRefCopy28Row" hidden="1">#REF!</definedName>
    <definedName name="XRefCopy29Row" localSheetId="14" hidden="1">#REF!</definedName>
    <definedName name="XRefCopy29Row" localSheetId="7" hidden="1">#REF!</definedName>
    <definedName name="XRefCopy29Row" localSheetId="17" hidden="1">#REF!</definedName>
    <definedName name="XRefCopy29Row" localSheetId="20" hidden="1">#REF!</definedName>
    <definedName name="XRefCopy29Row" localSheetId="18" hidden="1">#REF!</definedName>
    <definedName name="XRefCopy29Row" localSheetId="23" hidden="1">#REF!</definedName>
    <definedName name="XRefCopy29Row" localSheetId="19" hidden="1">#REF!</definedName>
    <definedName name="XRefCopy29Row" localSheetId="28" hidden="1">#REF!</definedName>
    <definedName name="XRefCopy29Row" localSheetId="27" hidden="1">#REF!</definedName>
    <definedName name="XRefCopy29Row" localSheetId="29" hidden="1">#REF!</definedName>
    <definedName name="XRefCopy29Row" localSheetId="30" hidden="1">#REF!</definedName>
    <definedName name="XRefCopy29Row" hidden="1">#REF!</definedName>
    <definedName name="XRefCopy2Row" localSheetId="14" hidden="1">#REF!</definedName>
    <definedName name="XRefCopy2Row" localSheetId="7" hidden="1">#REF!</definedName>
    <definedName name="XRefCopy2Row" localSheetId="17" hidden="1">#REF!</definedName>
    <definedName name="XRefCopy2Row" localSheetId="20" hidden="1">#REF!</definedName>
    <definedName name="XRefCopy2Row" localSheetId="18" hidden="1">#REF!</definedName>
    <definedName name="XRefCopy2Row" localSheetId="23" hidden="1">#REF!</definedName>
    <definedName name="XRefCopy2Row" localSheetId="19" hidden="1">#REF!</definedName>
    <definedName name="XRefCopy2Row" localSheetId="28" hidden="1">#REF!</definedName>
    <definedName name="XRefCopy2Row" localSheetId="27" hidden="1">#REF!</definedName>
    <definedName name="XRefCopy2Row" localSheetId="29" hidden="1">#REF!</definedName>
    <definedName name="XRefCopy2Row" localSheetId="30" hidden="1">#REF!</definedName>
    <definedName name="XRefCopy2Row" hidden="1">#REF!</definedName>
    <definedName name="XRefCopy3" localSheetId="14" hidden="1">#REF!</definedName>
    <definedName name="XRefCopy3" localSheetId="7" hidden="1">#REF!</definedName>
    <definedName name="XRefCopy3" localSheetId="17" hidden="1">#REF!</definedName>
    <definedName name="XRefCopy3" localSheetId="20" hidden="1">#REF!</definedName>
    <definedName name="XRefCopy3" localSheetId="18" hidden="1">#REF!</definedName>
    <definedName name="XRefCopy3" localSheetId="23" hidden="1">#REF!</definedName>
    <definedName name="XRefCopy3" localSheetId="19" hidden="1">#REF!</definedName>
    <definedName name="XRefCopy3" localSheetId="28" hidden="1">#REF!</definedName>
    <definedName name="XRefCopy3" localSheetId="27" hidden="1">#REF!</definedName>
    <definedName name="XRefCopy3" localSheetId="29" hidden="1">#REF!</definedName>
    <definedName name="XRefCopy3" localSheetId="30" hidden="1">#REF!</definedName>
    <definedName name="XRefCopy3" hidden="1">#REF!</definedName>
    <definedName name="XRefCopy30" localSheetId="14" hidden="1">[12]Movimiento!#REF!</definedName>
    <definedName name="XRefCopy30" localSheetId="7" hidden="1">[12]Movimiento!#REF!</definedName>
    <definedName name="XRefCopy30" localSheetId="17" hidden="1">[12]Movimiento!#REF!</definedName>
    <definedName name="XRefCopy30" localSheetId="20" hidden="1">[12]Movimiento!#REF!</definedName>
    <definedName name="XRefCopy30" localSheetId="18" hidden="1">[12]Movimiento!#REF!</definedName>
    <definedName name="XRefCopy30" localSheetId="23" hidden="1">[12]Movimiento!#REF!</definedName>
    <definedName name="XRefCopy30" localSheetId="19" hidden="1">[12]Movimiento!#REF!</definedName>
    <definedName name="XRefCopy30" localSheetId="28" hidden="1">[12]Movimiento!#REF!</definedName>
    <definedName name="XRefCopy30" localSheetId="27" hidden="1">[12]Movimiento!#REF!</definedName>
    <definedName name="XRefCopy30" localSheetId="29" hidden="1">[12]Movimiento!#REF!</definedName>
    <definedName name="XRefCopy30" localSheetId="30" hidden="1">[12]Movimiento!#REF!</definedName>
    <definedName name="XRefCopy30" hidden="1">[12]Movimiento!#REF!</definedName>
    <definedName name="XRefCopy30Row" localSheetId="14" hidden="1">#REF!</definedName>
    <definedName name="XRefCopy30Row" localSheetId="7" hidden="1">#REF!</definedName>
    <definedName name="XRefCopy30Row" localSheetId="17" hidden="1">#REF!</definedName>
    <definedName name="XRefCopy30Row" localSheetId="20" hidden="1">#REF!</definedName>
    <definedName name="XRefCopy30Row" localSheetId="18" hidden="1">#REF!</definedName>
    <definedName name="XRefCopy30Row" localSheetId="23" hidden="1">#REF!</definedName>
    <definedName name="XRefCopy30Row" localSheetId="19" hidden="1">#REF!</definedName>
    <definedName name="XRefCopy30Row" localSheetId="28" hidden="1">#REF!</definedName>
    <definedName name="XRefCopy30Row" localSheetId="27" hidden="1">#REF!</definedName>
    <definedName name="XRefCopy30Row" localSheetId="29" hidden="1">#REF!</definedName>
    <definedName name="XRefCopy30Row" localSheetId="30" hidden="1">#REF!</definedName>
    <definedName name="XRefCopy30Row" hidden="1">#REF!</definedName>
    <definedName name="XRefCopy31" localSheetId="14" hidden="1">[12]Movimiento!#REF!</definedName>
    <definedName name="XRefCopy31" localSheetId="7" hidden="1">[12]Movimiento!#REF!</definedName>
    <definedName name="XRefCopy31" localSheetId="17" hidden="1">[12]Movimiento!#REF!</definedName>
    <definedName name="XRefCopy31" localSheetId="20" hidden="1">[12]Movimiento!#REF!</definedName>
    <definedName name="XRefCopy31" localSheetId="18" hidden="1">[12]Movimiento!#REF!</definedName>
    <definedName name="XRefCopy31" localSheetId="23" hidden="1">[12]Movimiento!#REF!</definedName>
    <definedName name="XRefCopy31" localSheetId="19" hidden="1">[12]Movimiento!#REF!</definedName>
    <definedName name="XRefCopy31" localSheetId="28" hidden="1">[12]Movimiento!#REF!</definedName>
    <definedName name="XRefCopy31" localSheetId="27" hidden="1">[12]Movimiento!#REF!</definedName>
    <definedName name="XRefCopy31" localSheetId="29" hidden="1">[12]Movimiento!#REF!</definedName>
    <definedName name="XRefCopy31" localSheetId="30" hidden="1">[12]Movimiento!#REF!</definedName>
    <definedName name="XRefCopy31" hidden="1">[12]Movimiento!#REF!</definedName>
    <definedName name="XRefCopy31Row" localSheetId="14" hidden="1">#REF!</definedName>
    <definedName name="XRefCopy31Row" localSheetId="7" hidden="1">#REF!</definedName>
    <definedName name="XRefCopy31Row" localSheetId="17" hidden="1">#REF!</definedName>
    <definedName name="XRefCopy31Row" localSheetId="20" hidden="1">#REF!</definedName>
    <definedName name="XRefCopy31Row" localSheetId="18" hidden="1">#REF!</definedName>
    <definedName name="XRefCopy31Row" localSheetId="23" hidden="1">#REF!</definedName>
    <definedName name="XRefCopy31Row" localSheetId="19" hidden="1">#REF!</definedName>
    <definedName name="XRefCopy31Row" localSheetId="28" hidden="1">#REF!</definedName>
    <definedName name="XRefCopy31Row" localSheetId="27" hidden="1">#REF!</definedName>
    <definedName name="XRefCopy31Row" localSheetId="29" hidden="1">#REF!</definedName>
    <definedName name="XRefCopy31Row" localSheetId="30" hidden="1">#REF!</definedName>
    <definedName name="XRefCopy31Row" hidden="1">#REF!</definedName>
    <definedName name="XRefCopy3Row" localSheetId="14" hidden="1">#REF!</definedName>
    <definedName name="XRefCopy3Row" localSheetId="7" hidden="1">#REF!</definedName>
    <definedName name="XRefCopy3Row" localSheetId="17" hidden="1">#REF!</definedName>
    <definedName name="XRefCopy3Row" localSheetId="20" hidden="1">#REF!</definedName>
    <definedName name="XRefCopy3Row" localSheetId="18" hidden="1">#REF!</definedName>
    <definedName name="XRefCopy3Row" localSheetId="23" hidden="1">#REF!</definedName>
    <definedName name="XRefCopy3Row" localSheetId="19" hidden="1">#REF!</definedName>
    <definedName name="XRefCopy3Row" localSheetId="28" hidden="1">#REF!</definedName>
    <definedName name="XRefCopy3Row" localSheetId="27" hidden="1">#REF!</definedName>
    <definedName name="XRefCopy3Row" localSheetId="29" hidden="1">#REF!</definedName>
    <definedName name="XRefCopy3Row" localSheetId="30" hidden="1">#REF!</definedName>
    <definedName name="XRefCopy3Row" hidden="1">#REF!</definedName>
    <definedName name="XRefCopy4" localSheetId="14" hidden="1">#REF!</definedName>
    <definedName name="XRefCopy4" localSheetId="7" hidden="1">#REF!</definedName>
    <definedName name="XRefCopy4" localSheetId="17" hidden="1">#REF!</definedName>
    <definedName name="XRefCopy4" localSheetId="20" hidden="1">#REF!</definedName>
    <definedName name="XRefCopy4" localSheetId="18" hidden="1">#REF!</definedName>
    <definedName name="XRefCopy4" localSheetId="23" hidden="1">#REF!</definedName>
    <definedName name="XRefCopy4" localSheetId="19" hidden="1">#REF!</definedName>
    <definedName name="XRefCopy4" localSheetId="28" hidden="1">#REF!</definedName>
    <definedName name="XRefCopy4" localSheetId="27" hidden="1">#REF!</definedName>
    <definedName name="XRefCopy4" localSheetId="29" hidden="1">#REF!</definedName>
    <definedName name="XRefCopy4" localSheetId="30" hidden="1">#REF!</definedName>
    <definedName name="XRefCopy4" hidden="1">#REF!</definedName>
    <definedName name="XRefCopy46Row" localSheetId="14" hidden="1">#REF!</definedName>
    <definedName name="XRefCopy46Row" localSheetId="7" hidden="1">#REF!</definedName>
    <definedName name="XRefCopy46Row" localSheetId="17" hidden="1">#REF!</definedName>
    <definedName name="XRefCopy46Row" localSheetId="20" hidden="1">#REF!</definedName>
    <definedName name="XRefCopy46Row" localSheetId="18" hidden="1">#REF!</definedName>
    <definedName name="XRefCopy46Row" localSheetId="23" hidden="1">#REF!</definedName>
    <definedName name="XRefCopy46Row" localSheetId="19" hidden="1">#REF!</definedName>
    <definedName name="XRefCopy46Row" localSheetId="28" hidden="1">#REF!</definedName>
    <definedName name="XRefCopy46Row" localSheetId="27" hidden="1">#REF!</definedName>
    <definedName name="XRefCopy46Row" localSheetId="29" hidden="1">#REF!</definedName>
    <definedName name="XRefCopy46Row" localSheetId="30" hidden="1">#REF!</definedName>
    <definedName name="XRefCopy46Row" hidden="1">#REF!</definedName>
    <definedName name="XRefCopy4Row" localSheetId="14" hidden="1">#REF!</definedName>
    <definedName name="XRefCopy4Row" localSheetId="7" hidden="1">#REF!</definedName>
    <definedName name="XRefCopy4Row" localSheetId="17" hidden="1">#REF!</definedName>
    <definedName name="XRefCopy4Row" localSheetId="20" hidden="1">#REF!</definedName>
    <definedName name="XRefCopy4Row" localSheetId="18" hidden="1">#REF!</definedName>
    <definedName name="XRefCopy4Row" localSheetId="23" hidden="1">#REF!</definedName>
    <definedName name="XRefCopy4Row" localSheetId="19" hidden="1">#REF!</definedName>
    <definedName name="XRefCopy4Row" localSheetId="28" hidden="1">#REF!</definedName>
    <definedName name="XRefCopy4Row" localSheetId="27" hidden="1">#REF!</definedName>
    <definedName name="XRefCopy4Row" localSheetId="29" hidden="1">#REF!</definedName>
    <definedName name="XRefCopy4Row" localSheetId="30" hidden="1">#REF!</definedName>
    <definedName name="XRefCopy4Row" hidden="1">#REF!</definedName>
    <definedName name="XRefCopy5" localSheetId="14" hidden="1">#REF!</definedName>
    <definedName name="XRefCopy5" localSheetId="7" hidden="1">#REF!</definedName>
    <definedName name="XRefCopy5" localSheetId="17" hidden="1">#REF!</definedName>
    <definedName name="XRefCopy5" localSheetId="20" hidden="1">#REF!</definedName>
    <definedName name="XRefCopy5" localSheetId="18" hidden="1">#REF!</definedName>
    <definedName name="XRefCopy5" localSheetId="23" hidden="1">#REF!</definedName>
    <definedName name="XRefCopy5" localSheetId="19" hidden="1">#REF!</definedName>
    <definedName name="XRefCopy5" localSheetId="28" hidden="1">#REF!</definedName>
    <definedName name="XRefCopy5" localSheetId="27" hidden="1">#REF!</definedName>
    <definedName name="XRefCopy5" localSheetId="29" hidden="1">#REF!</definedName>
    <definedName name="XRefCopy5" localSheetId="30" hidden="1">#REF!</definedName>
    <definedName name="XRefCopy5" hidden="1">#REF!</definedName>
    <definedName name="XRefCopy52Row" localSheetId="14" hidden="1">#REF!</definedName>
    <definedName name="XRefCopy52Row" localSheetId="7" hidden="1">#REF!</definedName>
    <definedName name="XRefCopy52Row" localSheetId="17" hidden="1">#REF!</definedName>
    <definedName name="XRefCopy52Row" localSheetId="20" hidden="1">#REF!</definedName>
    <definedName name="XRefCopy52Row" localSheetId="18" hidden="1">#REF!</definedName>
    <definedName name="XRefCopy52Row" localSheetId="23" hidden="1">#REF!</definedName>
    <definedName name="XRefCopy52Row" localSheetId="19" hidden="1">#REF!</definedName>
    <definedName name="XRefCopy52Row" localSheetId="28" hidden="1">#REF!</definedName>
    <definedName name="XRefCopy52Row" localSheetId="27" hidden="1">#REF!</definedName>
    <definedName name="XRefCopy52Row" localSheetId="29" hidden="1">#REF!</definedName>
    <definedName name="XRefCopy52Row" localSheetId="30" hidden="1">#REF!</definedName>
    <definedName name="XRefCopy52Row" hidden="1">#REF!</definedName>
    <definedName name="XRefCopy53" localSheetId="14" hidden="1">'[12]Dep ejercicio'!#REF!</definedName>
    <definedName name="XRefCopy53" localSheetId="7" hidden="1">'[12]Dep ejercicio'!#REF!</definedName>
    <definedName name="XRefCopy53" localSheetId="17" hidden="1">'[12]Dep ejercicio'!#REF!</definedName>
    <definedName name="XRefCopy53" localSheetId="20" hidden="1">'[12]Dep ejercicio'!#REF!</definedName>
    <definedName name="XRefCopy53" localSheetId="18" hidden="1">'[12]Dep ejercicio'!#REF!</definedName>
    <definedName name="XRefCopy53" localSheetId="23" hidden="1">'[12]Dep ejercicio'!#REF!</definedName>
    <definedName name="XRefCopy53" localSheetId="19" hidden="1">'[12]Dep ejercicio'!#REF!</definedName>
    <definedName name="XRefCopy53" localSheetId="28" hidden="1">'[12]Dep ejercicio'!#REF!</definedName>
    <definedName name="XRefCopy53" localSheetId="27" hidden="1">'[12]Dep ejercicio'!#REF!</definedName>
    <definedName name="XRefCopy53" localSheetId="29" hidden="1">'[12]Dep ejercicio'!#REF!</definedName>
    <definedName name="XRefCopy53" localSheetId="30" hidden="1">'[12]Dep ejercicio'!#REF!</definedName>
    <definedName name="XRefCopy53" hidden="1">'[12]Dep ejercicio'!#REF!</definedName>
    <definedName name="XRefCopy53Row" localSheetId="14" hidden="1">#REF!</definedName>
    <definedName name="XRefCopy53Row" localSheetId="7" hidden="1">#REF!</definedName>
    <definedName name="XRefCopy53Row" localSheetId="17" hidden="1">#REF!</definedName>
    <definedName name="XRefCopy53Row" localSheetId="20" hidden="1">#REF!</definedName>
    <definedName name="XRefCopy53Row" localSheetId="18" hidden="1">#REF!</definedName>
    <definedName name="XRefCopy53Row" localSheetId="23" hidden="1">#REF!</definedName>
    <definedName name="XRefCopy53Row" localSheetId="19" hidden="1">#REF!</definedName>
    <definedName name="XRefCopy53Row" localSheetId="28" hidden="1">#REF!</definedName>
    <definedName name="XRefCopy53Row" localSheetId="27" hidden="1">#REF!</definedName>
    <definedName name="XRefCopy53Row" localSheetId="29" hidden="1">#REF!</definedName>
    <definedName name="XRefCopy53Row" localSheetId="30" hidden="1">#REF!</definedName>
    <definedName name="XRefCopy53Row" hidden="1">#REF!</definedName>
    <definedName name="XRefCopy5Row" localSheetId="14" hidden="1">[13]XREF!#REF!</definedName>
    <definedName name="XRefCopy5Row" localSheetId="7" hidden="1">[13]XREF!#REF!</definedName>
    <definedName name="XRefCopy5Row" localSheetId="17" hidden="1">[13]XREF!#REF!</definedName>
    <definedName name="XRefCopy5Row" localSheetId="20" hidden="1">[13]XREF!#REF!</definedName>
    <definedName name="XRefCopy5Row" localSheetId="18" hidden="1">[13]XREF!#REF!</definedName>
    <definedName name="XRefCopy5Row" localSheetId="23" hidden="1">[13]XREF!#REF!</definedName>
    <definedName name="XRefCopy5Row" localSheetId="19" hidden="1">[13]XREF!#REF!</definedName>
    <definedName name="XRefCopy5Row" localSheetId="28" hidden="1">[13]XREF!#REF!</definedName>
    <definedName name="XRefCopy5Row" localSheetId="27" hidden="1">[13]XREF!#REF!</definedName>
    <definedName name="XRefCopy5Row" localSheetId="29" hidden="1">[13]XREF!#REF!</definedName>
    <definedName name="XRefCopy5Row" localSheetId="30" hidden="1">[13]XREF!#REF!</definedName>
    <definedName name="XRefCopy5Row" hidden="1">[13]XREF!#REF!</definedName>
    <definedName name="XRefCopy6" localSheetId="14" hidden="1">#REF!</definedName>
    <definedName name="XRefCopy6" localSheetId="7" hidden="1">#REF!</definedName>
    <definedName name="XRefCopy6" localSheetId="17" hidden="1">#REF!</definedName>
    <definedName name="XRefCopy6" localSheetId="20" hidden="1">#REF!</definedName>
    <definedName name="XRefCopy6" localSheetId="18" hidden="1">#REF!</definedName>
    <definedName name="XRefCopy6" localSheetId="23" hidden="1">#REF!</definedName>
    <definedName name="XRefCopy6" localSheetId="19" hidden="1">#REF!</definedName>
    <definedName name="XRefCopy6" localSheetId="28" hidden="1">#REF!</definedName>
    <definedName name="XRefCopy6" localSheetId="27" hidden="1">#REF!</definedName>
    <definedName name="XRefCopy6" localSheetId="29" hidden="1">#REF!</definedName>
    <definedName name="XRefCopy6" localSheetId="30" hidden="1">#REF!</definedName>
    <definedName name="XRefCopy6" hidden="1">#REF!</definedName>
    <definedName name="XRefCopy6Row" localSheetId="14" hidden="1">[13]XREF!#REF!</definedName>
    <definedName name="XRefCopy6Row" localSheetId="7" hidden="1">[13]XREF!#REF!</definedName>
    <definedName name="XRefCopy6Row" localSheetId="17" hidden="1">[13]XREF!#REF!</definedName>
    <definedName name="XRefCopy6Row" localSheetId="20" hidden="1">[13]XREF!#REF!</definedName>
    <definedName name="XRefCopy6Row" localSheetId="18" hidden="1">[13]XREF!#REF!</definedName>
    <definedName name="XRefCopy6Row" localSheetId="23" hidden="1">[13]XREF!#REF!</definedName>
    <definedName name="XRefCopy6Row" localSheetId="19" hidden="1">[13]XREF!#REF!</definedName>
    <definedName name="XRefCopy6Row" localSheetId="28" hidden="1">[13]XREF!#REF!</definedName>
    <definedName name="XRefCopy6Row" localSheetId="27" hidden="1">[13]XREF!#REF!</definedName>
    <definedName name="XRefCopy6Row" localSheetId="29" hidden="1">[13]XREF!#REF!</definedName>
    <definedName name="XRefCopy6Row" localSheetId="30" hidden="1">[13]XREF!#REF!</definedName>
    <definedName name="XRefCopy6Row" hidden="1">[13]XREF!#REF!</definedName>
    <definedName name="XRefCopy7" localSheetId="14" hidden="1">#REF!</definedName>
    <definedName name="XRefCopy7" localSheetId="7" hidden="1">#REF!</definedName>
    <definedName name="XRefCopy7" localSheetId="17" hidden="1">#REF!</definedName>
    <definedName name="XRefCopy7" localSheetId="20" hidden="1">#REF!</definedName>
    <definedName name="XRefCopy7" localSheetId="18" hidden="1">#REF!</definedName>
    <definedName name="XRefCopy7" localSheetId="23" hidden="1">#REF!</definedName>
    <definedName name="XRefCopy7" localSheetId="19" hidden="1">#REF!</definedName>
    <definedName name="XRefCopy7" localSheetId="28" hidden="1">#REF!</definedName>
    <definedName name="XRefCopy7" localSheetId="27" hidden="1">#REF!</definedName>
    <definedName name="XRefCopy7" localSheetId="29" hidden="1">#REF!</definedName>
    <definedName name="XRefCopy7" localSheetId="30" hidden="1">#REF!</definedName>
    <definedName name="XRefCopy7" hidden="1">#REF!</definedName>
    <definedName name="XRefCopy7Row" localSheetId="14" hidden="1">#REF!</definedName>
    <definedName name="XRefCopy7Row" localSheetId="7" hidden="1">#REF!</definedName>
    <definedName name="XRefCopy7Row" localSheetId="17" hidden="1">#REF!</definedName>
    <definedName name="XRefCopy7Row" localSheetId="20" hidden="1">#REF!</definedName>
    <definedName name="XRefCopy7Row" localSheetId="18" hidden="1">#REF!</definedName>
    <definedName name="XRefCopy7Row" localSheetId="23" hidden="1">#REF!</definedName>
    <definedName name="XRefCopy7Row" localSheetId="19" hidden="1">#REF!</definedName>
    <definedName name="XRefCopy7Row" localSheetId="28" hidden="1">#REF!</definedName>
    <definedName name="XRefCopy7Row" localSheetId="27" hidden="1">#REF!</definedName>
    <definedName name="XRefCopy7Row" localSheetId="29" hidden="1">#REF!</definedName>
    <definedName name="XRefCopy7Row" localSheetId="30" hidden="1">#REF!</definedName>
    <definedName name="XRefCopy7Row" hidden="1">#REF!</definedName>
    <definedName name="XRefCopy8" localSheetId="14" hidden="1">#REF!</definedName>
    <definedName name="XRefCopy8" localSheetId="7" hidden="1">#REF!</definedName>
    <definedName name="XRefCopy8" localSheetId="17" hidden="1">#REF!</definedName>
    <definedName name="XRefCopy8" localSheetId="20" hidden="1">#REF!</definedName>
    <definedName name="XRefCopy8" localSheetId="18" hidden="1">#REF!</definedName>
    <definedName name="XRefCopy8" localSheetId="23" hidden="1">#REF!</definedName>
    <definedName name="XRefCopy8" localSheetId="19" hidden="1">#REF!</definedName>
    <definedName name="XRefCopy8" localSheetId="28" hidden="1">#REF!</definedName>
    <definedName name="XRefCopy8" localSheetId="27" hidden="1">#REF!</definedName>
    <definedName name="XRefCopy8" localSheetId="29" hidden="1">#REF!</definedName>
    <definedName name="XRefCopy8" localSheetId="30" hidden="1">#REF!</definedName>
    <definedName name="XRefCopy8" hidden="1">#REF!</definedName>
    <definedName name="XRefCopy8Row" localSheetId="14" hidden="1">#REF!</definedName>
    <definedName name="XRefCopy8Row" localSheetId="7" hidden="1">#REF!</definedName>
    <definedName name="XRefCopy8Row" localSheetId="17" hidden="1">#REF!</definedName>
    <definedName name="XRefCopy8Row" localSheetId="20" hidden="1">#REF!</definedName>
    <definedName name="XRefCopy8Row" localSheetId="18" hidden="1">#REF!</definedName>
    <definedName name="XRefCopy8Row" localSheetId="23" hidden="1">#REF!</definedName>
    <definedName name="XRefCopy8Row" localSheetId="19" hidden="1">#REF!</definedName>
    <definedName name="XRefCopy8Row" localSheetId="28" hidden="1">#REF!</definedName>
    <definedName name="XRefCopy8Row" localSheetId="27" hidden="1">#REF!</definedName>
    <definedName name="XRefCopy8Row" localSheetId="29" hidden="1">#REF!</definedName>
    <definedName name="XRefCopy8Row" localSheetId="30" hidden="1">#REF!</definedName>
    <definedName name="XRefCopy8Row" hidden="1">#REF!</definedName>
    <definedName name="XRefCopy9" localSheetId="14" hidden="1">#REF!</definedName>
    <definedName name="XRefCopy9" localSheetId="7" hidden="1">#REF!</definedName>
    <definedName name="XRefCopy9" localSheetId="17" hidden="1">#REF!</definedName>
    <definedName name="XRefCopy9" localSheetId="20" hidden="1">#REF!</definedName>
    <definedName name="XRefCopy9" localSheetId="18" hidden="1">#REF!</definedName>
    <definedName name="XRefCopy9" localSheetId="23" hidden="1">#REF!</definedName>
    <definedName name="XRefCopy9" localSheetId="19" hidden="1">#REF!</definedName>
    <definedName name="XRefCopy9" localSheetId="28" hidden="1">#REF!</definedName>
    <definedName name="XRefCopy9" localSheetId="27" hidden="1">#REF!</definedName>
    <definedName name="XRefCopy9" localSheetId="29" hidden="1">#REF!</definedName>
    <definedName name="XRefCopy9" localSheetId="30" hidden="1">#REF!</definedName>
    <definedName name="XRefCopy9" hidden="1">#REF!</definedName>
    <definedName name="XRefCopy9Row" localSheetId="14" hidden="1">#REF!</definedName>
    <definedName name="XRefCopy9Row" localSheetId="7" hidden="1">#REF!</definedName>
    <definedName name="XRefCopy9Row" localSheetId="17" hidden="1">#REF!</definedName>
    <definedName name="XRefCopy9Row" localSheetId="20" hidden="1">#REF!</definedName>
    <definedName name="XRefCopy9Row" localSheetId="18" hidden="1">#REF!</definedName>
    <definedName name="XRefCopy9Row" localSheetId="23" hidden="1">#REF!</definedName>
    <definedName name="XRefCopy9Row" localSheetId="19" hidden="1">#REF!</definedName>
    <definedName name="XRefCopy9Row" localSheetId="28" hidden="1">#REF!</definedName>
    <definedName name="XRefCopy9Row" localSheetId="27" hidden="1">#REF!</definedName>
    <definedName name="XRefCopy9Row" localSheetId="29" hidden="1">#REF!</definedName>
    <definedName name="XRefCopy9Row" localSheetId="30" hidden="1">#REF!</definedName>
    <definedName name="XRefCopy9Row" hidden="1">#REF!</definedName>
    <definedName name="XRefCopyRangeCount" hidden="1">1</definedName>
    <definedName name="XRefPaste1" localSheetId="14" hidden="1">#REF!</definedName>
    <definedName name="XRefPaste1" localSheetId="7" hidden="1">#REF!</definedName>
    <definedName name="XRefPaste1" localSheetId="17" hidden="1">#REF!</definedName>
    <definedName name="XRefPaste1" localSheetId="20" hidden="1">#REF!</definedName>
    <definedName name="XRefPaste1" localSheetId="18" hidden="1">#REF!</definedName>
    <definedName name="XRefPaste1" localSheetId="23" hidden="1">#REF!</definedName>
    <definedName name="XRefPaste1" localSheetId="19" hidden="1">#REF!</definedName>
    <definedName name="XRefPaste1" localSheetId="28" hidden="1">#REF!</definedName>
    <definedName name="XRefPaste1" localSheetId="27" hidden="1">#REF!</definedName>
    <definedName name="XRefPaste1" localSheetId="29" hidden="1">#REF!</definedName>
    <definedName name="XRefPaste1" localSheetId="30" hidden="1">#REF!</definedName>
    <definedName name="XRefPaste1" hidden="1">#REF!</definedName>
    <definedName name="XRefPaste10" localSheetId="14" hidden="1">#REF!</definedName>
    <definedName name="XRefPaste10" localSheetId="7" hidden="1">#REF!</definedName>
    <definedName name="XRefPaste10" localSheetId="17" hidden="1">#REF!</definedName>
    <definedName name="XRefPaste10" localSheetId="20" hidden="1">#REF!</definedName>
    <definedName name="XRefPaste10" localSheetId="18" hidden="1">#REF!</definedName>
    <definedName name="XRefPaste10" localSheetId="23" hidden="1">#REF!</definedName>
    <definedName name="XRefPaste10" localSheetId="19" hidden="1">#REF!</definedName>
    <definedName name="XRefPaste10" localSheetId="28" hidden="1">#REF!</definedName>
    <definedName name="XRefPaste10" localSheetId="27" hidden="1">#REF!</definedName>
    <definedName name="XRefPaste10" localSheetId="29" hidden="1">#REF!</definedName>
    <definedName name="XRefPaste10" localSheetId="30" hidden="1">#REF!</definedName>
    <definedName name="XRefPaste10" hidden="1">#REF!</definedName>
    <definedName name="XRefPaste10Row" localSheetId="14" hidden="1">#REF!</definedName>
    <definedName name="XRefPaste10Row" localSheetId="7" hidden="1">#REF!</definedName>
    <definedName name="XRefPaste10Row" localSheetId="17" hidden="1">#REF!</definedName>
    <definedName name="XRefPaste10Row" localSheetId="20" hidden="1">#REF!</definedName>
    <definedName name="XRefPaste10Row" localSheetId="18" hidden="1">#REF!</definedName>
    <definedName name="XRefPaste10Row" localSheetId="23" hidden="1">#REF!</definedName>
    <definedName name="XRefPaste10Row" localSheetId="19" hidden="1">#REF!</definedName>
    <definedName name="XRefPaste10Row" localSheetId="28" hidden="1">#REF!</definedName>
    <definedName name="XRefPaste10Row" localSheetId="27" hidden="1">#REF!</definedName>
    <definedName name="XRefPaste10Row" localSheetId="29" hidden="1">#REF!</definedName>
    <definedName name="XRefPaste10Row" localSheetId="30" hidden="1">#REF!</definedName>
    <definedName name="XRefPaste10Row" hidden="1">#REF!</definedName>
    <definedName name="XRefPaste11" localSheetId="14" hidden="1">#REF!</definedName>
    <definedName name="XRefPaste11" localSheetId="7" hidden="1">#REF!</definedName>
    <definedName name="XRefPaste11" localSheetId="17" hidden="1">#REF!</definedName>
    <definedName name="XRefPaste11" localSheetId="20" hidden="1">#REF!</definedName>
    <definedName name="XRefPaste11" localSheetId="18" hidden="1">#REF!</definedName>
    <definedName name="XRefPaste11" localSheetId="23" hidden="1">#REF!</definedName>
    <definedName name="XRefPaste11" localSheetId="19" hidden="1">#REF!</definedName>
    <definedName name="XRefPaste11" localSheetId="28" hidden="1">#REF!</definedName>
    <definedName name="XRefPaste11" localSheetId="27" hidden="1">#REF!</definedName>
    <definedName name="XRefPaste11" localSheetId="29" hidden="1">#REF!</definedName>
    <definedName name="XRefPaste11" localSheetId="30" hidden="1">#REF!</definedName>
    <definedName name="XRefPaste11" hidden="1">#REF!</definedName>
    <definedName name="XRefPaste11Row" localSheetId="14" hidden="1">#REF!</definedName>
    <definedName name="XRefPaste11Row" localSheetId="7" hidden="1">#REF!</definedName>
    <definedName name="XRefPaste11Row" localSheetId="17" hidden="1">#REF!</definedName>
    <definedName name="XRefPaste11Row" localSheetId="20" hidden="1">#REF!</definedName>
    <definedName name="XRefPaste11Row" localSheetId="18" hidden="1">#REF!</definedName>
    <definedName name="XRefPaste11Row" localSheetId="23" hidden="1">#REF!</definedName>
    <definedName name="XRefPaste11Row" localSheetId="19" hidden="1">#REF!</definedName>
    <definedName name="XRefPaste11Row" localSheetId="28" hidden="1">#REF!</definedName>
    <definedName name="XRefPaste11Row" localSheetId="27" hidden="1">#REF!</definedName>
    <definedName name="XRefPaste11Row" localSheetId="29" hidden="1">#REF!</definedName>
    <definedName name="XRefPaste11Row" localSheetId="30" hidden="1">#REF!</definedName>
    <definedName name="XRefPaste11Row" hidden="1">#REF!</definedName>
    <definedName name="XRefPaste12" localSheetId="14" hidden="1">#REF!</definedName>
    <definedName name="XRefPaste12" localSheetId="7" hidden="1">#REF!</definedName>
    <definedName name="XRefPaste12" localSheetId="17" hidden="1">#REF!</definedName>
    <definedName name="XRefPaste12" localSheetId="20" hidden="1">#REF!</definedName>
    <definedName name="XRefPaste12" localSheetId="18" hidden="1">#REF!</definedName>
    <definedName name="XRefPaste12" localSheetId="23" hidden="1">#REF!</definedName>
    <definedName name="XRefPaste12" localSheetId="19" hidden="1">#REF!</definedName>
    <definedName name="XRefPaste12" localSheetId="28" hidden="1">#REF!</definedName>
    <definedName name="XRefPaste12" localSheetId="27" hidden="1">#REF!</definedName>
    <definedName name="XRefPaste12" localSheetId="29" hidden="1">#REF!</definedName>
    <definedName name="XRefPaste12" localSheetId="30" hidden="1">#REF!</definedName>
    <definedName name="XRefPaste12" hidden="1">#REF!</definedName>
    <definedName name="XRefPaste12Row" localSheetId="14" hidden="1">#REF!</definedName>
    <definedName name="XRefPaste12Row" localSheetId="7" hidden="1">#REF!</definedName>
    <definedName name="XRefPaste12Row" localSheetId="17" hidden="1">#REF!</definedName>
    <definedName name="XRefPaste12Row" localSheetId="20" hidden="1">#REF!</definedName>
    <definedName name="XRefPaste12Row" localSheetId="18" hidden="1">#REF!</definedName>
    <definedName name="XRefPaste12Row" localSheetId="23" hidden="1">#REF!</definedName>
    <definedName name="XRefPaste12Row" localSheetId="19" hidden="1">#REF!</definedName>
    <definedName name="XRefPaste12Row" localSheetId="28" hidden="1">#REF!</definedName>
    <definedName name="XRefPaste12Row" localSheetId="27" hidden="1">#REF!</definedName>
    <definedName name="XRefPaste12Row" localSheetId="29" hidden="1">#REF!</definedName>
    <definedName name="XRefPaste12Row" localSheetId="30" hidden="1">#REF!</definedName>
    <definedName name="XRefPaste12Row" hidden="1">#REF!</definedName>
    <definedName name="XRefPaste13" localSheetId="14" hidden="1">#REF!</definedName>
    <definedName name="XRefPaste13" localSheetId="7" hidden="1">#REF!</definedName>
    <definedName name="XRefPaste13" localSheetId="17" hidden="1">#REF!</definedName>
    <definedName name="XRefPaste13" localSheetId="20" hidden="1">#REF!</definedName>
    <definedName name="XRefPaste13" localSheetId="18" hidden="1">#REF!</definedName>
    <definedName name="XRefPaste13" localSheetId="23" hidden="1">#REF!</definedName>
    <definedName name="XRefPaste13" localSheetId="19" hidden="1">#REF!</definedName>
    <definedName name="XRefPaste13" localSheetId="28" hidden="1">#REF!</definedName>
    <definedName name="XRefPaste13" localSheetId="27" hidden="1">#REF!</definedName>
    <definedName name="XRefPaste13" localSheetId="29" hidden="1">#REF!</definedName>
    <definedName name="XRefPaste13" localSheetId="30" hidden="1">#REF!</definedName>
    <definedName name="XRefPaste13" hidden="1">#REF!</definedName>
    <definedName name="XRefPaste13Row" localSheetId="14" hidden="1">#REF!</definedName>
    <definedName name="XRefPaste13Row" localSheetId="7" hidden="1">#REF!</definedName>
    <definedName name="XRefPaste13Row" localSheetId="17" hidden="1">#REF!</definedName>
    <definedName name="XRefPaste13Row" localSheetId="20" hidden="1">#REF!</definedName>
    <definedName name="XRefPaste13Row" localSheetId="18" hidden="1">#REF!</definedName>
    <definedName name="XRefPaste13Row" localSheetId="23" hidden="1">#REF!</definedName>
    <definedName name="XRefPaste13Row" localSheetId="19" hidden="1">#REF!</definedName>
    <definedName name="XRefPaste13Row" localSheetId="28" hidden="1">#REF!</definedName>
    <definedName name="XRefPaste13Row" localSheetId="27" hidden="1">#REF!</definedName>
    <definedName name="XRefPaste13Row" localSheetId="29" hidden="1">#REF!</definedName>
    <definedName name="XRefPaste13Row" localSheetId="30" hidden="1">#REF!</definedName>
    <definedName name="XRefPaste13Row" hidden="1">#REF!</definedName>
    <definedName name="XRefPaste14" localSheetId="14" hidden="1">[12]Movimiento!#REF!</definedName>
    <definedName name="XRefPaste14" localSheetId="7" hidden="1">[12]Movimiento!#REF!</definedName>
    <definedName name="XRefPaste14" localSheetId="17" hidden="1">[12]Movimiento!#REF!</definedName>
    <definedName name="XRefPaste14" localSheetId="20" hidden="1">[12]Movimiento!#REF!</definedName>
    <definedName name="XRefPaste14" localSheetId="18" hidden="1">[12]Movimiento!#REF!</definedName>
    <definedName name="XRefPaste14" localSheetId="23" hidden="1">[12]Movimiento!#REF!</definedName>
    <definedName name="XRefPaste14" localSheetId="19" hidden="1">[12]Movimiento!#REF!</definedName>
    <definedName name="XRefPaste14" localSheetId="28" hidden="1">[12]Movimiento!#REF!</definedName>
    <definedName name="XRefPaste14" localSheetId="27" hidden="1">[12]Movimiento!#REF!</definedName>
    <definedName name="XRefPaste14" localSheetId="29" hidden="1">[12]Movimiento!#REF!</definedName>
    <definedName name="XRefPaste14" localSheetId="30" hidden="1">[12]Movimiento!#REF!</definedName>
    <definedName name="XRefPaste14" hidden="1">[12]Movimiento!#REF!</definedName>
    <definedName name="XRefPaste14Row" localSheetId="14" hidden="1">#REF!</definedName>
    <definedName name="XRefPaste14Row" localSheetId="7" hidden="1">#REF!</definedName>
    <definedName name="XRefPaste14Row" localSheetId="17" hidden="1">#REF!</definedName>
    <definedName name="XRefPaste14Row" localSheetId="20" hidden="1">#REF!</definedName>
    <definedName name="XRefPaste14Row" localSheetId="18" hidden="1">#REF!</definedName>
    <definedName name="XRefPaste14Row" localSheetId="23" hidden="1">#REF!</definedName>
    <definedName name="XRefPaste14Row" localSheetId="19" hidden="1">#REF!</definedName>
    <definedName name="XRefPaste14Row" localSheetId="28" hidden="1">#REF!</definedName>
    <definedName name="XRefPaste14Row" localSheetId="27" hidden="1">#REF!</definedName>
    <definedName name="XRefPaste14Row" localSheetId="29" hidden="1">#REF!</definedName>
    <definedName name="XRefPaste14Row" localSheetId="30" hidden="1">#REF!</definedName>
    <definedName name="XRefPaste14Row" hidden="1">#REF!</definedName>
    <definedName name="XRefPaste15Row" localSheetId="14" hidden="1">#REF!</definedName>
    <definedName name="XRefPaste15Row" localSheetId="7" hidden="1">#REF!</definedName>
    <definedName name="XRefPaste15Row" localSheetId="17" hidden="1">#REF!</definedName>
    <definedName name="XRefPaste15Row" localSheetId="20" hidden="1">#REF!</definedName>
    <definedName name="XRefPaste15Row" localSheetId="18" hidden="1">#REF!</definedName>
    <definedName name="XRefPaste15Row" localSheetId="23" hidden="1">#REF!</definedName>
    <definedName name="XRefPaste15Row" localSheetId="19" hidden="1">#REF!</definedName>
    <definedName name="XRefPaste15Row" localSheetId="28" hidden="1">#REF!</definedName>
    <definedName name="XRefPaste15Row" localSheetId="27" hidden="1">#REF!</definedName>
    <definedName name="XRefPaste15Row" localSheetId="29" hidden="1">#REF!</definedName>
    <definedName name="XRefPaste15Row" localSheetId="30" hidden="1">#REF!</definedName>
    <definedName name="XRefPaste15Row" hidden="1">#REF!</definedName>
    <definedName name="XRefPaste16" localSheetId="14" hidden="1">[12]Movimiento!#REF!</definedName>
    <definedName name="XRefPaste16" localSheetId="7" hidden="1">[12]Movimiento!#REF!</definedName>
    <definedName name="XRefPaste16" localSheetId="17" hidden="1">[12]Movimiento!#REF!</definedName>
    <definedName name="XRefPaste16" localSheetId="20" hidden="1">[12]Movimiento!#REF!</definedName>
    <definedName name="XRefPaste16" localSheetId="18" hidden="1">[12]Movimiento!#REF!</definedName>
    <definedName name="XRefPaste16" localSheetId="23" hidden="1">[12]Movimiento!#REF!</definedName>
    <definedName name="XRefPaste16" localSheetId="19" hidden="1">[12]Movimiento!#REF!</definedName>
    <definedName name="XRefPaste16" localSheetId="28" hidden="1">[12]Movimiento!#REF!</definedName>
    <definedName name="XRefPaste16" localSheetId="27" hidden="1">[12]Movimiento!#REF!</definedName>
    <definedName name="XRefPaste16" localSheetId="29" hidden="1">[12]Movimiento!#REF!</definedName>
    <definedName name="XRefPaste16" localSheetId="30" hidden="1">[12]Movimiento!#REF!</definedName>
    <definedName name="XRefPaste16" hidden="1">[12]Movimiento!#REF!</definedName>
    <definedName name="XRefPaste16Row" localSheetId="14" hidden="1">#REF!</definedName>
    <definedName name="XRefPaste16Row" localSheetId="7" hidden="1">#REF!</definedName>
    <definedName name="XRefPaste16Row" localSheetId="17" hidden="1">#REF!</definedName>
    <definedName name="XRefPaste16Row" localSheetId="20" hidden="1">#REF!</definedName>
    <definedName name="XRefPaste16Row" localSheetId="18" hidden="1">#REF!</definedName>
    <definedName name="XRefPaste16Row" localSheetId="23" hidden="1">#REF!</definedName>
    <definedName name="XRefPaste16Row" localSheetId="19" hidden="1">#REF!</definedName>
    <definedName name="XRefPaste16Row" localSheetId="28" hidden="1">#REF!</definedName>
    <definedName name="XRefPaste16Row" localSheetId="27" hidden="1">#REF!</definedName>
    <definedName name="XRefPaste16Row" localSheetId="29" hidden="1">#REF!</definedName>
    <definedName name="XRefPaste16Row" localSheetId="30" hidden="1">#REF!</definedName>
    <definedName name="XRefPaste16Row" hidden="1">#REF!</definedName>
    <definedName name="XRefPaste17" localSheetId="14" hidden="1">[12]Movimiento!#REF!</definedName>
    <definedName name="XRefPaste17" localSheetId="7" hidden="1">[12]Movimiento!#REF!</definedName>
    <definedName name="XRefPaste17" localSheetId="17" hidden="1">[12]Movimiento!#REF!</definedName>
    <definedName name="XRefPaste17" localSheetId="20" hidden="1">[12]Movimiento!#REF!</definedName>
    <definedName name="XRefPaste17" localSheetId="18" hidden="1">[12]Movimiento!#REF!</definedName>
    <definedName name="XRefPaste17" localSheetId="23" hidden="1">[12]Movimiento!#REF!</definedName>
    <definedName name="XRefPaste17" localSheetId="19" hidden="1">[12]Movimiento!#REF!</definedName>
    <definedName name="XRefPaste17" localSheetId="28" hidden="1">[12]Movimiento!#REF!</definedName>
    <definedName name="XRefPaste17" localSheetId="27" hidden="1">[12]Movimiento!#REF!</definedName>
    <definedName name="XRefPaste17" localSheetId="29" hidden="1">[12]Movimiento!#REF!</definedName>
    <definedName name="XRefPaste17" localSheetId="30" hidden="1">[12]Movimiento!#REF!</definedName>
    <definedName name="XRefPaste17" hidden="1">[12]Movimiento!#REF!</definedName>
    <definedName name="XRefPaste17Row" localSheetId="14" hidden="1">#REF!</definedName>
    <definedName name="XRefPaste17Row" localSheetId="7" hidden="1">#REF!</definedName>
    <definedName name="XRefPaste17Row" localSheetId="17" hidden="1">#REF!</definedName>
    <definedName name="XRefPaste17Row" localSheetId="20" hidden="1">#REF!</definedName>
    <definedName name="XRefPaste17Row" localSheetId="18" hidden="1">#REF!</definedName>
    <definedName name="XRefPaste17Row" localSheetId="23" hidden="1">#REF!</definedName>
    <definedName name="XRefPaste17Row" localSheetId="19" hidden="1">#REF!</definedName>
    <definedName name="XRefPaste17Row" localSheetId="28" hidden="1">#REF!</definedName>
    <definedName name="XRefPaste17Row" localSheetId="27" hidden="1">#REF!</definedName>
    <definedName name="XRefPaste17Row" localSheetId="29" hidden="1">#REF!</definedName>
    <definedName name="XRefPaste17Row" localSheetId="30" hidden="1">#REF!</definedName>
    <definedName name="XRefPaste17Row" hidden="1">#REF!</definedName>
    <definedName name="XRefPaste18" localSheetId="14" hidden="1">[12]Movimiento!#REF!</definedName>
    <definedName name="XRefPaste18" localSheetId="7" hidden="1">[12]Movimiento!#REF!</definedName>
    <definedName name="XRefPaste18" localSheetId="17" hidden="1">[12]Movimiento!#REF!</definedName>
    <definedName name="XRefPaste18" localSheetId="20" hidden="1">[12]Movimiento!#REF!</definedName>
    <definedName name="XRefPaste18" localSheetId="18" hidden="1">[12]Movimiento!#REF!</definedName>
    <definedName name="XRefPaste18" localSheetId="23" hidden="1">[12]Movimiento!#REF!</definedName>
    <definedName name="XRefPaste18" localSheetId="19" hidden="1">[12]Movimiento!#REF!</definedName>
    <definedName name="XRefPaste18" localSheetId="28" hidden="1">[12]Movimiento!#REF!</definedName>
    <definedName name="XRefPaste18" localSheetId="27" hidden="1">[12]Movimiento!#REF!</definedName>
    <definedName name="XRefPaste18" localSheetId="29" hidden="1">[12]Movimiento!#REF!</definedName>
    <definedName name="XRefPaste18" localSheetId="30" hidden="1">[12]Movimiento!#REF!</definedName>
    <definedName name="XRefPaste18" hidden="1">[12]Movimiento!#REF!</definedName>
    <definedName name="XRefPaste18Row" localSheetId="14" hidden="1">#REF!</definedName>
    <definedName name="XRefPaste18Row" localSheetId="7" hidden="1">#REF!</definedName>
    <definedName name="XRefPaste18Row" localSheetId="17" hidden="1">#REF!</definedName>
    <definedName name="XRefPaste18Row" localSheetId="20" hidden="1">#REF!</definedName>
    <definedName name="XRefPaste18Row" localSheetId="18" hidden="1">#REF!</definedName>
    <definedName name="XRefPaste18Row" localSheetId="23" hidden="1">#REF!</definedName>
    <definedName name="XRefPaste18Row" localSheetId="19" hidden="1">#REF!</definedName>
    <definedName name="XRefPaste18Row" localSheetId="28" hidden="1">#REF!</definedName>
    <definedName name="XRefPaste18Row" localSheetId="27" hidden="1">#REF!</definedName>
    <definedName name="XRefPaste18Row" localSheetId="29" hidden="1">#REF!</definedName>
    <definedName name="XRefPaste18Row" localSheetId="30" hidden="1">#REF!</definedName>
    <definedName name="XRefPaste18Row" hidden="1">#REF!</definedName>
    <definedName name="XRefPaste19" localSheetId="14" hidden="1">[12]Movimiento!#REF!</definedName>
    <definedName name="XRefPaste19" localSheetId="7" hidden="1">[12]Movimiento!#REF!</definedName>
    <definedName name="XRefPaste19" localSheetId="17" hidden="1">[12]Movimiento!#REF!</definedName>
    <definedName name="XRefPaste19" localSheetId="20" hidden="1">[12]Movimiento!#REF!</definedName>
    <definedName name="XRefPaste19" localSheetId="18" hidden="1">[12]Movimiento!#REF!</definedName>
    <definedName name="XRefPaste19" localSheetId="23" hidden="1">[12]Movimiento!#REF!</definedName>
    <definedName name="XRefPaste19" localSheetId="19" hidden="1">[12]Movimiento!#REF!</definedName>
    <definedName name="XRefPaste19" localSheetId="28" hidden="1">[12]Movimiento!#REF!</definedName>
    <definedName name="XRefPaste19" localSheetId="27" hidden="1">[12]Movimiento!#REF!</definedName>
    <definedName name="XRefPaste19" localSheetId="29" hidden="1">[12]Movimiento!#REF!</definedName>
    <definedName name="XRefPaste19" localSheetId="30" hidden="1">[12]Movimiento!#REF!</definedName>
    <definedName name="XRefPaste19" hidden="1">[12]Movimiento!#REF!</definedName>
    <definedName name="XRefPaste19Row" localSheetId="14" hidden="1">#REF!</definedName>
    <definedName name="XRefPaste19Row" localSheetId="7" hidden="1">#REF!</definedName>
    <definedName name="XRefPaste19Row" localSheetId="17" hidden="1">#REF!</definedName>
    <definedName name="XRefPaste19Row" localSheetId="20" hidden="1">#REF!</definedName>
    <definedName name="XRefPaste19Row" localSheetId="18" hidden="1">#REF!</definedName>
    <definedName name="XRefPaste19Row" localSheetId="23" hidden="1">#REF!</definedName>
    <definedName name="XRefPaste19Row" localSheetId="19" hidden="1">#REF!</definedName>
    <definedName name="XRefPaste19Row" localSheetId="28" hidden="1">#REF!</definedName>
    <definedName name="XRefPaste19Row" localSheetId="27" hidden="1">#REF!</definedName>
    <definedName name="XRefPaste19Row" localSheetId="29" hidden="1">#REF!</definedName>
    <definedName name="XRefPaste19Row" localSheetId="30" hidden="1">#REF!</definedName>
    <definedName name="XRefPaste19Row" hidden="1">#REF!</definedName>
    <definedName name="XRefPaste1Row" localSheetId="14" hidden="1">#REF!</definedName>
    <definedName name="XRefPaste1Row" localSheetId="7" hidden="1">#REF!</definedName>
    <definedName name="XRefPaste1Row" localSheetId="17" hidden="1">#REF!</definedName>
    <definedName name="XRefPaste1Row" localSheetId="20" hidden="1">#REF!</definedName>
    <definedName name="XRefPaste1Row" localSheetId="18" hidden="1">#REF!</definedName>
    <definedName name="XRefPaste1Row" localSheetId="23" hidden="1">#REF!</definedName>
    <definedName name="XRefPaste1Row" localSheetId="19" hidden="1">#REF!</definedName>
    <definedName name="XRefPaste1Row" localSheetId="28" hidden="1">#REF!</definedName>
    <definedName name="XRefPaste1Row" localSheetId="27" hidden="1">#REF!</definedName>
    <definedName name="XRefPaste1Row" localSheetId="29" hidden="1">#REF!</definedName>
    <definedName name="XRefPaste1Row" localSheetId="30" hidden="1">#REF!</definedName>
    <definedName name="XRefPaste1Row" hidden="1">#REF!</definedName>
    <definedName name="XRefPaste2" localSheetId="14" hidden="1">#REF!</definedName>
    <definedName name="XRefPaste2" localSheetId="7" hidden="1">#REF!</definedName>
    <definedName name="XRefPaste2" localSheetId="17" hidden="1">#REF!</definedName>
    <definedName name="XRefPaste2" localSheetId="20" hidden="1">#REF!</definedName>
    <definedName name="XRefPaste2" localSheetId="18" hidden="1">#REF!</definedName>
    <definedName name="XRefPaste2" localSheetId="23" hidden="1">#REF!</definedName>
    <definedName name="XRefPaste2" localSheetId="19" hidden="1">#REF!</definedName>
    <definedName name="XRefPaste2" localSheetId="28" hidden="1">#REF!</definedName>
    <definedName name="XRefPaste2" localSheetId="27" hidden="1">#REF!</definedName>
    <definedName name="XRefPaste2" localSheetId="29" hidden="1">#REF!</definedName>
    <definedName name="XRefPaste2" localSheetId="30" hidden="1">#REF!</definedName>
    <definedName name="XRefPaste2" hidden="1">#REF!</definedName>
    <definedName name="XRefPaste20" localSheetId="14" hidden="1">[12]Movimiento!#REF!</definedName>
    <definedName name="XRefPaste20" localSheetId="7" hidden="1">[12]Movimiento!#REF!</definedName>
    <definedName name="XRefPaste20" localSheetId="17" hidden="1">[12]Movimiento!#REF!</definedName>
    <definedName name="XRefPaste20" localSheetId="20" hidden="1">[12]Movimiento!#REF!</definedName>
    <definedName name="XRefPaste20" localSheetId="18" hidden="1">[12]Movimiento!#REF!</definedName>
    <definedName name="XRefPaste20" localSheetId="23" hidden="1">[12]Movimiento!#REF!</definedName>
    <definedName name="XRefPaste20" localSheetId="19" hidden="1">[12]Movimiento!#REF!</definedName>
    <definedName name="XRefPaste20" localSheetId="28" hidden="1">[12]Movimiento!#REF!</definedName>
    <definedName name="XRefPaste20" localSheetId="27" hidden="1">[12]Movimiento!#REF!</definedName>
    <definedName name="XRefPaste20" localSheetId="29" hidden="1">[12]Movimiento!#REF!</definedName>
    <definedName name="XRefPaste20" localSheetId="30" hidden="1">[12]Movimiento!#REF!</definedName>
    <definedName name="XRefPaste20" hidden="1">[12]Movimiento!#REF!</definedName>
    <definedName name="XRefPaste20Row" localSheetId="14" hidden="1">#REF!</definedName>
    <definedName name="XRefPaste20Row" localSheetId="7" hidden="1">#REF!</definedName>
    <definedName name="XRefPaste20Row" localSheetId="17" hidden="1">#REF!</definedName>
    <definedName name="XRefPaste20Row" localSheetId="20" hidden="1">#REF!</definedName>
    <definedName name="XRefPaste20Row" localSheetId="18" hidden="1">#REF!</definedName>
    <definedName name="XRefPaste20Row" localSheetId="23" hidden="1">#REF!</definedName>
    <definedName name="XRefPaste20Row" localSheetId="19" hidden="1">#REF!</definedName>
    <definedName name="XRefPaste20Row" localSheetId="28" hidden="1">#REF!</definedName>
    <definedName name="XRefPaste20Row" localSheetId="27" hidden="1">#REF!</definedName>
    <definedName name="XRefPaste20Row" localSheetId="29" hidden="1">#REF!</definedName>
    <definedName name="XRefPaste20Row" localSheetId="30" hidden="1">#REF!</definedName>
    <definedName name="XRefPaste20Row" hidden="1">#REF!</definedName>
    <definedName name="XRefPaste21Row" localSheetId="14" hidden="1">#REF!</definedName>
    <definedName name="XRefPaste21Row" localSheetId="7" hidden="1">#REF!</definedName>
    <definedName name="XRefPaste21Row" localSheetId="17" hidden="1">#REF!</definedName>
    <definedName name="XRefPaste21Row" localSheetId="20" hidden="1">#REF!</definedName>
    <definedName name="XRefPaste21Row" localSheetId="18" hidden="1">#REF!</definedName>
    <definedName name="XRefPaste21Row" localSheetId="23" hidden="1">#REF!</definedName>
    <definedName name="XRefPaste21Row" localSheetId="19" hidden="1">#REF!</definedName>
    <definedName name="XRefPaste21Row" localSheetId="28" hidden="1">#REF!</definedName>
    <definedName name="XRefPaste21Row" localSheetId="27" hidden="1">#REF!</definedName>
    <definedName name="XRefPaste21Row" localSheetId="29" hidden="1">#REF!</definedName>
    <definedName name="XRefPaste21Row" localSheetId="30" hidden="1">#REF!</definedName>
    <definedName name="XRefPaste21Row" hidden="1">#REF!</definedName>
    <definedName name="XRefPaste22" localSheetId="14" hidden="1">#REF!</definedName>
    <definedName name="XRefPaste22" localSheetId="7" hidden="1">#REF!</definedName>
    <definedName name="XRefPaste22" localSheetId="17" hidden="1">#REF!</definedName>
    <definedName name="XRefPaste22" localSheetId="20" hidden="1">#REF!</definedName>
    <definedName name="XRefPaste22" localSheetId="18" hidden="1">#REF!</definedName>
    <definedName name="XRefPaste22" localSheetId="23" hidden="1">#REF!</definedName>
    <definedName name="XRefPaste22" localSheetId="19" hidden="1">#REF!</definedName>
    <definedName name="XRefPaste22" localSheetId="28" hidden="1">#REF!</definedName>
    <definedName name="XRefPaste22" localSheetId="27" hidden="1">#REF!</definedName>
    <definedName name="XRefPaste22" localSheetId="29" hidden="1">#REF!</definedName>
    <definedName name="XRefPaste22" localSheetId="30" hidden="1">#REF!</definedName>
    <definedName name="XRefPaste22" hidden="1">#REF!</definedName>
    <definedName name="XRefPaste22Row" localSheetId="14" hidden="1">#REF!</definedName>
    <definedName name="XRefPaste22Row" localSheetId="7" hidden="1">#REF!</definedName>
    <definedName name="XRefPaste22Row" localSheetId="17" hidden="1">#REF!</definedName>
    <definedName name="XRefPaste22Row" localSheetId="20" hidden="1">#REF!</definedName>
    <definedName name="XRefPaste22Row" localSheetId="18" hidden="1">#REF!</definedName>
    <definedName name="XRefPaste22Row" localSheetId="23" hidden="1">#REF!</definedName>
    <definedName name="XRefPaste22Row" localSheetId="19" hidden="1">#REF!</definedName>
    <definedName name="XRefPaste22Row" localSheetId="28" hidden="1">#REF!</definedName>
    <definedName name="XRefPaste22Row" localSheetId="27" hidden="1">#REF!</definedName>
    <definedName name="XRefPaste22Row" localSheetId="29" hidden="1">#REF!</definedName>
    <definedName name="XRefPaste22Row" localSheetId="30" hidden="1">#REF!</definedName>
    <definedName name="XRefPaste22Row" hidden="1">#REF!</definedName>
    <definedName name="XRefPaste23" localSheetId="14" hidden="1">#REF!</definedName>
    <definedName name="XRefPaste23" localSheetId="7" hidden="1">#REF!</definedName>
    <definedName name="XRefPaste23" localSheetId="17" hidden="1">#REF!</definedName>
    <definedName name="XRefPaste23" localSheetId="20" hidden="1">#REF!</definedName>
    <definedName name="XRefPaste23" localSheetId="18" hidden="1">#REF!</definedName>
    <definedName name="XRefPaste23" localSheetId="23" hidden="1">#REF!</definedName>
    <definedName name="XRefPaste23" localSheetId="19" hidden="1">#REF!</definedName>
    <definedName name="XRefPaste23" localSheetId="28" hidden="1">#REF!</definedName>
    <definedName name="XRefPaste23" localSheetId="27" hidden="1">#REF!</definedName>
    <definedName name="XRefPaste23" localSheetId="29" hidden="1">#REF!</definedName>
    <definedName name="XRefPaste23" localSheetId="30" hidden="1">#REF!</definedName>
    <definedName name="XRefPaste23" hidden="1">#REF!</definedName>
    <definedName name="XRefPaste23Row" localSheetId="14" hidden="1">#REF!</definedName>
    <definedName name="XRefPaste23Row" localSheetId="7" hidden="1">#REF!</definedName>
    <definedName name="XRefPaste23Row" localSheetId="17" hidden="1">#REF!</definedName>
    <definedName name="XRefPaste23Row" localSheetId="20" hidden="1">#REF!</definedName>
    <definedName name="XRefPaste23Row" localSheetId="18" hidden="1">#REF!</definedName>
    <definedName name="XRefPaste23Row" localSheetId="23" hidden="1">#REF!</definedName>
    <definedName name="XRefPaste23Row" localSheetId="19" hidden="1">#REF!</definedName>
    <definedName name="XRefPaste23Row" localSheetId="28" hidden="1">#REF!</definedName>
    <definedName name="XRefPaste23Row" localSheetId="27" hidden="1">#REF!</definedName>
    <definedName name="XRefPaste23Row" localSheetId="29" hidden="1">#REF!</definedName>
    <definedName name="XRefPaste23Row" localSheetId="30" hidden="1">#REF!</definedName>
    <definedName name="XRefPaste23Row" hidden="1">#REF!</definedName>
    <definedName name="XRefPaste24Row" localSheetId="14" hidden="1">#REF!</definedName>
    <definedName name="XRefPaste24Row" localSheetId="7" hidden="1">#REF!</definedName>
    <definedName name="XRefPaste24Row" localSheetId="17" hidden="1">#REF!</definedName>
    <definedName name="XRefPaste24Row" localSheetId="20" hidden="1">#REF!</definedName>
    <definedName name="XRefPaste24Row" localSheetId="18" hidden="1">#REF!</definedName>
    <definedName name="XRefPaste24Row" localSheetId="23" hidden="1">#REF!</definedName>
    <definedName name="XRefPaste24Row" localSheetId="19" hidden="1">#REF!</definedName>
    <definedName name="XRefPaste24Row" localSheetId="28" hidden="1">#REF!</definedName>
    <definedName name="XRefPaste24Row" localSheetId="27" hidden="1">#REF!</definedName>
    <definedName name="XRefPaste24Row" localSheetId="29" hidden="1">#REF!</definedName>
    <definedName name="XRefPaste24Row" localSheetId="30" hidden="1">#REF!</definedName>
    <definedName name="XRefPaste24Row" hidden="1">#REF!</definedName>
    <definedName name="XRefPaste25Row" localSheetId="14" hidden="1">#REF!</definedName>
    <definedName name="XRefPaste25Row" localSheetId="7" hidden="1">#REF!</definedName>
    <definedName name="XRefPaste25Row" localSheetId="17" hidden="1">#REF!</definedName>
    <definedName name="XRefPaste25Row" localSheetId="20" hidden="1">#REF!</definedName>
    <definedName name="XRefPaste25Row" localSheetId="18" hidden="1">#REF!</definedName>
    <definedName name="XRefPaste25Row" localSheetId="23" hidden="1">#REF!</definedName>
    <definedName name="XRefPaste25Row" localSheetId="19" hidden="1">#REF!</definedName>
    <definedName name="XRefPaste25Row" localSheetId="28" hidden="1">#REF!</definedName>
    <definedName name="XRefPaste25Row" localSheetId="27" hidden="1">#REF!</definedName>
    <definedName name="XRefPaste25Row" localSheetId="29" hidden="1">#REF!</definedName>
    <definedName name="XRefPaste25Row" localSheetId="30" hidden="1">#REF!</definedName>
    <definedName name="XRefPaste25Row" hidden="1">#REF!</definedName>
    <definedName name="XRefPaste26" localSheetId="14" hidden="1">#REF!</definedName>
    <definedName name="XRefPaste26" localSheetId="7" hidden="1">#REF!</definedName>
    <definedName name="XRefPaste26" localSheetId="17" hidden="1">#REF!</definedName>
    <definedName name="XRefPaste26" localSheetId="20" hidden="1">#REF!</definedName>
    <definedName name="XRefPaste26" localSheetId="18" hidden="1">#REF!</definedName>
    <definedName name="XRefPaste26" localSheetId="23" hidden="1">#REF!</definedName>
    <definedName name="XRefPaste26" localSheetId="19" hidden="1">#REF!</definedName>
    <definedName name="XRefPaste26" localSheetId="28" hidden="1">#REF!</definedName>
    <definedName name="XRefPaste26" localSheetId="27" hidden="1">#REF!</definedName>
    <definedName name="XRefPaste26" localSheetId="29" hidden="1">#REF!</definedName>
    <definedName name="XRefPaste26" localSheetId="30" hidden="1">#REF!</definedName>
    <definedName name="XRefPaste26" hidden="1">#REF!</definedName>
    <definedName name="XRefPaste26Row" localSheetId="14" hidden="1">#REF!</definedName>
    <definedName name="XRefPaste26Row" localSheetId="7" hidden="1">#REF!</definedName>
    <definedName name="XRefPaste26Row" localSheetId="17" hidden="1">#REF!</definedName>
    <definedName name="XRefPaste26Row" localSheetId="20" hidden="1">#REF!</definedName>
    <definedName name="XRefPaste26Row" localSheetId="18" hidden="1">#REF!</definedName>
    <definedName name="XRefPaste26Row" localSheetId="23" hidden="1">#REF!</definedName>
    <definedName name="XRefPaste26Row" localSheetId="19" hidden="1">#REF!</definedName>
    <definedName name="XRefPaste26Row" localSheetId="28" hidden="1">#REF!</definedName>
    <definedName name="XRefPaste26Row" localSheetId="27" hidden="1">#REF!</definedName>
    <definedName name="XRefPaste26Row" localSheetId="29" hidden="1">#REF!</definedName>
    <definedName name="XRefPaste26Row" localSheetId="30" hidden="1">#REF!</definedName>
    <definedName name="XRefPaste26Row" hidden="1">#REF!</definedName>
    <definedName name="XRefPaste27Row" localSheetId="14" hidden="1">#REF!</definedName>
    <definedName name="XRefPaste27Row" localSheetId="7" hidden="1">#REF!</definedName>
    <definedName name="XRefPaste27Row" localSheetId="17" hidden="1">#REF!</definedName>
    <definedName name="XRefPaste27Row" localSheetId="20" hidden="1">#REF!</definedName>
    <definedName name="XRefPaste27Row" localSheetId="18" hidden="1">#REF!</definedName>
    <definedName name="XRefPaste27Row" localSheetId="23" hidden="1">#REF!</definedName>
    <definedName name="XRefPaste27Row" localSheetId="19" hidden="1">#REF!</definedName>
    <definedName name="XRefPaste27Row" localSheetId="28" hidden="1">#REF!</definedName>
    <definedName name="XRefPaste27Row" localSheetId="27" hidden="1">#REF!</definedName>
    <definedName name="XRefPaste27Row" localSheetId="29" hidden="1">#REF!</definedName>
    <definedName name="XRefPaste27Row" localSheetId="30" hidden="1">#REF!</definedName>
    <definedName name="XRefPaste27Row" hidden="1">#REF!</definedName>
    <definedName name="XRefPaste2Row" localSheetId="14" hidden="1">#REF!</definedName>
    <definedName name="XRefPaste2Row" localSheetId="7" hidden="1">#REF!</definedName>
    <definedName name="XRefPaste2Row" localSheetId="17" hidden="1">#REF!</definedName>
    <definedName name="XRefPaste2Row" localSheetId="20" hidden="1">#REF!</definedName>
    <definedName name="XRefPaste2Row" localSheetId="18" hidden="1">#REF!</definedName>
    <definedName name="XRefPaste2Row" localSheetId="23" hidden="1">#REF!</definedName>
    <definedName name="XRefPaste2Row" localSheetId="19" hidden="1">#REF!</definedName>
    <definedName name="XRefPaste2Row" localSheetId="28" hidden="1">#REF!</definedName>
    <definedName name="XRefPaste2Row" localSheetId="27" hidden="1">#REF!</definedName>
    <definedName name="XRefPaste2Row" localSheetId="29" hidden="1">#REF!</definedName>
    <definedName name="XRefPaste2Row" localSheetId="30" hidden="1">#REF!</definedName>
    <definedName name="XRefPaste2Row" hidden="1">#REF!</definedName>
    <definedName name="XRefPaste3" localSheetId="14" hidden="1">#REF!</definedName>
    <definedName name="XRefPaste3" localSheetId="7" hidden="1">#REF!</definedName>
    <definedName name="XRefPaste3" localSheetId="17" hidden="1">#REF!</definedName>
    <definedName name="XRefPaste3" localSheetId="20" hidden="1">#REF!</definedName>
    <definedName name="XRefPaste3" localSheetId="18" hidden="1">#REF!</definedName>
    <definedName name="XRefPaste3" localSheetId="23" hidden="1">#REF!</definedName>
    <definedName name="XRefPaste3" localSheetId="19" hidden="1">#REF!</definedName>
    <definedName name="XRefPaste3" localSheetId="28" hidden="1">#REF!</definedName>
    <definedName name="XRefPaste3" localSheetId="27" hidden="1">#REF!</definedName>
    <definedName name="XRefPaste3" localSheetId="29" hidden="1">#REF!</definedName>
    <definedName name="XRefPaste3" localSheetId="30" hidden="1">#REF!</definedName>
    <definedName name="XRefPaste3" hidden="1">#REF!</definedName>
    <definedName name="XRefPaste32" localSheetId="14" hidden="1">#REF!</definedName>
    <definedName name="XRefPaste32" localSheetId="7" hidden="1">#REF!</definedName>
    <definedName name="XRefPaste32" localSheetId="17" hidden="1">#REF!</definedName>
    <definedName name="XRefPaste32" localSheetId="20" hidden="1">#REF!</definedName>
    <definedName name="XRefPaste32" localSheetId="18" hidden="1">#REF!</definedName>
    <definedName name="XRefPaste32" localSheetId="23" hidden="1">#REF!</definedName>
    <definedName name="XRefPaste32" localSheetId="19" hidden="1">#REF!</definedName>
    <definedName name="XRefPaste32" localSheetId="28" hidden="1">#REF!</definedName>
    <definedName name="XRefPaste32" localSheetId="27" hidden="1">#REF!</definedName>
    <definedName name="XRefPaste32" localSheetId="29" hidden="1">#REF!</definedName>
    <definedName name="XRefPaste32" localSheetId="30" hidden="1">#REF!</definedName>
    <definedName name="XRefPaste32" hidden="1">#REF!</definedName>
    <definedName name="XRefPaste33" localSheetId="14" hidden="1">#REF!</definedName>
    <definedName name="XRefPaste33" localSheetId="7" hidden="1">#REF!</definedName>
    <definedName name="XRefPaste33" localSheetId="17" hidden="1">#REF!</definedName>
    <definedName name="XRefPaste33" localSheetId="20" hidden="1">#REF!</definedName>
    <definedName name="XRefPaste33" localSheetId="18" hidden="1">#REF!</definedName>
    <definedName name="XRefPaste33" localSheetId="23" hidden="1">#REF!</definedName>
    <definedName name="XRefPaste33" localSheetId="19" hidden="1">#REF!</definedName>
    <definedName name="XRefPaste33" localSheetId="28" hidden="1">#REF!</definedName>
    <definedName name="XRefPaste33" localSheetId="27" hidden="1">#REF!</definedName>
    <definedName name="XRefPaste33" localSheetId="29" hidden="1">#REF!</definedName>
    <definedName name="XRefPaste33" localSheetId="30" hidden="1">#REF!</definedName>
    <definedName name="XRefPaste33" hidden="1">#REF!</definedName>
    <definedName name="XRefPaste34" localSheetId="14" hidden="1">#REF!</definedName>
    <definedName name="XRefPaste34" localSheetId="7" hidden="1">#REF!</definedName>
    <definedName name="XRefPaste34" localSheetId="17" hidden="1">#REF!</definedName>
    <definedName name="XRefPaste34" localSheetId="20" hidden="1">#REF!</definedName>
    <definedName name="XRefPaste34" localSheetId="18" hidden="1">#REF!</definedName>
    <definedName name="XRefPaste34" localSheetId="23" hidden="1">#REF!</definedName>
    <definedName name="XRefPaste34" localSheetId="19" hidden="1">#REF!</definedName>
    <definedName name="XRefPaste34" localSheetId="28" hidden="1">#REF!</definedName>
    <definedName name="XRefPaste34" localSheetId="27" hidden="1">#REF!</definedName>
    <definedName name="XRefPaste34" localSheetId="29" hidden="1">#REF!</definedName>
    <definedName name="XRefPaste34" localSheetId="30" hidden="1">#REF!</definedName>
    <definedName name="XRefPaste34" hidden="1">#REF!</definedName>
    <definedName name="XRefPaste3Row" localSheetId="14" hidden="1">#REF!</definedName>
    <definedName name="XRefPaste3Row" localSheetId="7" hidden="1">#REF!</definedName>
    <definedName name="XRefPaste3Row" localSheetId="17" hidden="1">#REF!</definedName>
    <definedName name="XRefPaste3Row" localSheetId="20" hidden="1">#REF!</definedName>
    <definedName name="XRefPaste3Row" localSheetId="18" hidden="1">#REF!</definedName>
    <definedName name="XRefPaste3Row" localSheetId="23" hidden="1">#REF!</definedName>
    <definedName name="XRefPaste3Row" localSheetId="19" hidden="1">#REF!</definedName>
    <definedName name="XRefPaste3Row" localSheetId="28" hidden="1">#REF!</definedName>
    <definedName name="XRefPaste3Row" localSheetId="27" hidden="1">#REF!</definedName>
    <definedName name="XRefPaste3Row" localSheetId="29" hidden="1">#REF!</definedName>
    <definedName name="XRefPaste3Row" localSheetId="30" hidden="1">#REF!</definedName>
    <definedName name="XRefPaste3Row" hidden="1">#REF!</definedName>
    <definedName name="XRefPaste4" localSheetId="14" hidden="1">#REF!</definedName>
    <definedName name="XRefPaste4" localSheetId="7" hidden="1">#REF!</definedName>
    <definedName name="XRefPaste4" localSheetId="17" hidden="1">#REF!</definedName>
    <definedName name="XRefPaste4" localSheetId="20" hidden="1">#REF!</definedName>
    <definedName name="XRefPaste4" localSheetId="18" hidden="1">#REF!</definedName>
    <definedName name="XRefPaste4" localSheetId="23" hidden="1">#REF!</definedName>
    <definedName name="XRefPaste4" localSheetId="19" hidden="1">#REF!</definedName>
    <definedName name="XRefPaste4" localSheetId="28" hidden="1">#REF!</definedName>
    <definedName name="XRefPaste4" localSheetId="27" hidden="1">#REF!</definedName>
    <definedName name="XRefPaste4" localSheetId="29" hidden="1">#REF!</definedName>
    <definedName name="XRefPaste4" localSheetId="30" hidden="1">#REF!</definedName>
    <definedName name="XRefPaste4" hidden="1">#REF!</definedName>
    <definedName name="XRefPaste41" localSheetId="14" hidden="1">#REF!</definedName>
    <definedName name="XRefPaste41" localSheetId="7" hidden="1">#REF!</definedName>
    <definedName name="XRefPaste41" localSheetId="17" hidden="1">#REF!</definedName>
    <definedName name="XRefPaste41" localSheetId="20" hidden="1">#REF!</definedName>
    <definedName name="XRefPaste41" localSheetId="18" hidden="1">#REF!</definedName>
    <definedName name="XRefPaste41" localSheetId="23" hidden="1">#REF!</definedName>
    <definedName name="XRefPaste41" localSheetId="19" hidden="1">#REF!</definedName>
    <definedName name="XRefPaste41" localSheetId="28" hidden="1">#REF!</definedName>
    <definedName name="XRefPaste41" localSheetId="27" hidden="1">#REF!</definedName>
    <definedName name="XRefPaste41" localSheetId="29" hidden="1">#REF!</definedName>
    <definedName name="XRefPaste41" localSheetId="30" hidden="1">#REF!</definedName>
    <definedName name="XRefPaste41" hidden="1">#REF!</definedName>
    <definedName name="XRefPaste41Row" localSheetId="14" hidden="1">#REF!</definedName>
    <definedName name="XRefPaste41Row" localSheetId="7" hidden="1">#REF!</definedName>
    <definedName name="XRefPaste41Row" localSheetId="17" hidden="1">#REF!</definedName>
    <definedName name="XRefPaste41Row" localSheetId="20" hidden="1">#REF!</definedName>
    <definedName name="XRefPaste41Row" localSheetId="18" hidden="1">#REF!</definedName>
    <definedName name="XRefPaste41Row" localSheetId="23" hidden="1">#REF!</definedName>
    <definedName name="XRefPaste41Row" localSheetId="19" hidden="1">#REF!</definedName>
    <definedName name="XRefPaste41Row" localSheetId="28" hidden="1">#REF!</definedName>
    <definedName name="XRefPaste41Row" localSheetId="27" hidden="1">#REF!</definedName>
    <definedName name="XRefPaste41Row" localSheetId="29" hidden="1">#REF!</definedName>
    <definedName name="XRefPaste41Row" localSheetId="30" hidden="1">#REF!</definedName>
    <definedName name="XRefPaste41Row" hidden="1">#REF!</definedName>
    <definedName name="XRefPaste42Row" localSheetId="14" hidden="1">#REF!</definedName>
    <definedName name="XRefPaste42Row" localSheetId="7" hidden="1">#REF!</definedName>
    <definedName name="XRefPaste42Row" localSheetId="17" hidden="1">#REF!</definedName>
    <definedName name="XRefPaste42Row" localSheetId="20" hidden="1">#REF!</definedName>
    <definedName name="XRefPaste42Row" localSheetId="18" hidden="1">#REF!</definedName>
    <definedName name="XRefPaste42Row" localSheetId="23" hidden="1">#REF!</definedName>
    <definedName name="XRefPaste42Row" localSheetId="19" hidden="1">#REF!</definedName>
    <definedName name="XRefPaste42Row" localSheetId="28" hidden="1">#REF!</definedName>
    <definedName name="XRefPaste42Row" localSheetId="27" hidden="1">#REF!</definedName>
    <definedName name="XRefPaste42Row" localSheetId="29" hidden="1">#REF!</definedName>
    <definedName name="XRefPaste42Row" localSheetId="30" hidden="1">#REF!</definedName>
    <definedName name="XRefPaste42Row" hidden="1">#REF!</definedName>
    <definedName name="XRefPaste43Row" localSheetId="14" hidden="1">#REF!</definedName>
    <definedName name="XRefPaste43Row" localSheetId="7" hidden="1">#REF!</definedName>
    <definedName name="XRefPaste43Row" localSheetId="17" hidden="1">#REF!</definedName>
    <definedName name="XRefPaste43Row" localSheetId="20" hidden="1">#REF!</definedName>
    <definedName name="XRefPaste43Row" localSheetId="18" hidden="1">#REF!</definedName>
    <definedName name="XRefPaste43Row" localSheetId="23" hidden="1">#REF!</definedName>
    <definedName name="XRefPaste43Row" localSheetId="19" hidden="1">#REF!</definedName>
    <definedName name="XRefPaste43Row" localSheetId="28" hidden="1">#REF!</definedName>
    <definedName name="XRefPaste43Row" localSheetId="27" hidden="1">#REF!</definedName>
    <definedName name="XRefPaste43Row" localSheetId="29" hidden="1">#REF!</definedName>
    <definedName name="XRefPaste43Row" localSheetId="30" hidden="1">#REF!</definedName>
    <definedName name="XRefPaste43Row" hidden="1">#REF!</definedName>
    <definedName name="XRefPaste44Row" localSheetId="14" hidden="1">#REF!</definedName>
    <definedName name="XRefPaste44Row" localSheetId="7" hidden="1">#REF!</definedName>
    <definedName name="XRefPaste44Row" localSheetId="17" hidden="1">#REF!</definedName>
    <definedName name="XRefPaste44Row" localSheetId="20" hidden="1">#REF!</definedName>
    <definedName name="XRefPaste44Row" localSheetId="18" hidden="1">#REF!</definedName>
    <definedName name="XRefPaste44Row" localSheetId="23" hidden="1">#REF!</definedName>
    <definedName name="XRefPaste44Row" localSheetId="19" hidden="1">#REF!</definedName>
    <definedName name="XRefPaste44Row" localSheetId="28" hidden="1">#REF!</definedName>
    <definedName name="XRefPaste44Row" localSheetId="27" hidden="1">#REF!</definedName>
    <definedName name="XRefPaste44Row" localSheetId="29" hidden="1">#REF!</definedName>
    <definedName name="XRefPaste44Row" localSheetId="30" hidden="1">#REF!</definedName>
    <definedName name="XRefPaste44Row" hidden="1">#REF!</definedName>
    <definedName name="XRefPaste45Row" localSheetId="14" hidden="1">#REF!</definedName>
    <definedName name="XRefPaste45Row" localSheetId="7" hidden="1">#REF!</definedName>
    <definedName name="XRefPaste45Row" localSheetId="17" hidden="1">#REF!</definedName>
    <definedName name="XRefPaste45Row" localSheetId="20" hidden="1">#REF!</definedName>
    <definedName name="XRefPaste45Row" localSheetId="18" hidden="1">#REF!</definedName>
    <definedName name="XRefPaste45Row" localSheetId="23" hidden="1">#REF!</definedName>
    <definedName name="XRefPaste45Row" localSheetId="19" hidden="1">#REF!</definedName>
    <definedName name="XRefPaste45Row" localSheetId="28" hidden="1">#REF!</definedName>
    <definedName name="XRefPaste45Row" localSheetId="27" hidden="1">#REF!</definedName>
    <definedName name="XRefPaste45Row" localSheetId="29" hidden="1">#REF!</definedName>
    <definedName name="XRefPaste45Row" localSheetId="30" hidden="1">#REF!</definedName>
    <definedName name="XRefPaste45Row" hidden="1">#REF!</definedName>
    <definedName name="XRefPaste46Row" localSheetId="14" hidden="1">#REF!</definedName>
    <definedName name="XRefPaste46Row" localSheetId="7" hidden="1">#REF!</definedName>
    <definedName name="XRefPaste46Row" localSheetId="17" hidden="1">#REF!</definedName>
    <definedName name="XRefPaste46Row" localSheetId="20" hidden="1">#REF!</definedName>
    <definedName name="XRefPaste46Row" localSheetId="18" hidden="1">#REF!</definedName>
    <definedName name="XRefPaste46Row" localSheetId="23" hidden="1">#REF!</definedName>
    <definedName name="XRefPaste46Row" localSheetId="19" hidden="1">#REF!</definedName>
    <definedName name="XRefPaste46Row" localSheetId="28" hidden="1">#REF!</definedName>
    <definedName name="XRefPaste46Row" localSheetId="27" hidden="1">#REF!</definedName>
    <definedName name="XRefPaste46Row" localSheetId="29" hidden="1">#REF!</definedName>
    <definedName name="XRefPaste46Row" localSheetId="30" hidden="1">#REF!</definedName>
    <definedName name="XRefPaste46Row" hidden="1">#REF!</definedName>
    <definedName name="XRefPaste47" localSheetId="14" hidden="1">#REF!</definedName>
    <definedName name="XRefPaste47" localSheetId="7" hidden="1">#REF!</definedName>
    <definedName name="XRefPaste47" localSheetId="17" hidden="1">#REF!</definedName>
    <definedName name="XRefPaste47" localSheetId="20" hidden="1">#REF!</definedName>
    <definedName name="XRefPaste47" localSheetId="18" hidden="1">#REF!</definedName>
    <definedName name="XRefPaste47" localSheetId="23" hidden="1">#REF!</definedName>
    <definedName name="XRefPaste47" localSheetId="19" hidden="1">#REF!</definedName>
    <definedName name="XRefPaste47" localSheetId="28" hidden="1">#REF!</definedName>
    <definedName name="XRefPaste47" localSheetId="27" hidden="1">#REF!</definedName>
    <definedName name="XRefPaste47" localSheetId="29" hidden="1">#REF!</definedName>
    <definedName name="XRefPaste47" localSheetId="30" hidden="1">#REF!</definedName>
    <definedName name="XRefPaste47" hidden="1">#REF!</definedName>
    <definedName name="XRefPaste47Row" localSheetId="14" hidden="1">#REF!</definedName>
    <definedName name="XRefPaste47Row" localSheetId="7" hidden="1">#REF!</definedName>
    <definedName name="XRefPaste47Row" localSheetId="17" hidden="1">#REF!</definedName>
    <definedName name="XRefPaste47Row" localSheetId="20" hidden="1">#REF!</definedName>
    <definedName name="XRefPaste47Row" localSheetId="18" hidden="1">#REF!</definedName>
    <definedName name="XRefPaste47Row" localSheetId="23" hidden="1">#REF!</definedName>
    <definedName name="XRefPaste47Row" localSheetId="19" hidden="1">#REF!</definedName>
    <definedName name="XRefPaste47Row" localSheetId="28" hidden="1">#REF!</definedName>
    <definedName name="XRefPaste47Row" localSheetId="27" hidden="1">#REF!</definedName>
    <definedName name="XRefPaste47Row" localSheetId="29" hidden="1">#REF!</definedName>
    <definedName name="XRefPaste47Row" localSheetId="30" hidden="1">#REF!</definedName>
    <definedName name="XRefPaste47Row" hidden="1">#REF!</definedName>
    <definedName name="XRefPaste48Row" localSheetId="14" hidden="1">#REF!</definedName>
    <definedName name="XRefPaste48Row" localSheetId="7" hidden="1">#REF!</definedName>
    <definedName name="XRefPaste48Row" localSheetId="17" hidden="1">#REF!</definedName>
    <definedName name="XRefPaste48Row" localSheetId="20" hidden="1">#REF!</definedName>
    <definedName name="XRefPaste48Row" localSheetId="18" hidden="1">#REF!</definedName>
    <definedName name="XRefPaste48Row" localSheetId="23" hidden="1">#REF!</definedName>
    <definedName name="XRefPaste48Row" localSheetId="19" hidden="1">#REF!</definedName>
    <definedName name="XRefPaste48Row" localSheetId="28" hidden="1">#REF!</definedName>
    <definedName name="XRefPaste48Row" localSheetId="27" hidden="1">#REF!</definedName>
    <definedName name="XRefPaste48Row" localSheetId="29" hidden="1">#REF!</definedName>
    <definedName name="XRefPaste48Row" localSheetId="30" hidden="1">#REF!</definedName>
    <definedName name="XRefPaste48Row" hidden="1">#REF!</definedName>
    <definedName name="XRefPaste49" localSheetId="14" hidden="1">#REF!</definedName>
    <definedName name="XRefPaste49" localSheetId="7" hidden="1">#REF!</definedName>
    <definedName name="XRefPaste49" localSheetId="17" hidden="1">#REF!</definedName>
    <definedName name="XRefPaste49" localSheetId="20" hidden="1">#REF!</definedName>
    <definedName name="XRefPaste49" localSheetId="18" hidden="1">#REF!</definedName>
    <definedName name="XRefPaste49" localSheetId="23" hidden="1">#REF!</definedName>
    <definedName name="XRefPaste49" localSheetId="19" hidden="1">#REF!</definedName>
    <definedName name="XRefPaste49" localSheetId="28" hidden="1">#REF!</definedName>
    <definedName name="XRefPaste49" localSheetId="27" hidden="1">#REF!</definedName>
    <definedName name="XRefPaste49" localSheetId="29" hidden="1">#REF!</definedName>
    <definedName name="XRefPaste49" localSheetId="30" hidden="1">#REF!</definedName>
    <definedName name="XRefPaste49" hidden="1">#REF!</definedName>
    <definedName name="XRefPaste49Row" localSheetId="14" hidden="1">#REF!</definedName>
    <definedName name="XRefPaste49Row" localSheetId="7" hidden="1">#REF!</definedName>
    <definedName name="XRefPaste49Row" localSheetId="17" hidden="1">#REF!</definedName>
    <definedName name="XRefPaste49Row" localSheetId="20" hidden="1">#REF!</definedName>
    <definedName name="XRefPaste49Row" localSheetId="18" hidden="1">#REF!</definedName>
    <definedName name="XRefPaste49Row" localSheetId="23" hidden="1">#REF!</definedName>
    <definedName name="XRefPaste49Row" localSheetId="19" hidden="1">#REF!</definedName>
    <definedName name="XRefPaste49Row" localSheetId="28" hidden="1">#REF!</definedName>
    <definedName name="XRefPaste49Row" localSheetId="27" hidden="1">#REF!</definedName>
    <definedName name="XRefPaste49Row" localSheetId="29" hidden="1">#REF!</definedName>
    <definedName name="XRefPaste49Row" localSheetId="30" hidden="1">#REF!</definedName>
    <definedName name="XRefPaste49Row" hidden="1">#REF!</definedName>
    <definedName name="XRefPaste4Row" localSheetId="14" hidden="1">#REF!</definedName>
    <definedName name="XRefPaste4Row" localSheetId="7" hidden="1">#REF!</definedName>
    <definedName name="XRefPaste4Row" localSheetId="17" hidden="1">#REF!</definedName>
    <definedName name="XRefPaste4Row" localSheetId="20" hidden="1">#REF!</definedName>
    <definedName name="XRefPaste4Row" localSheetId="18" hidden="1">#REF!</definedName>
    <definedName name="XRefPaste4Row" localSheetId="23" hidden="1">#REF!</definedName>
    <definedName name="XRefPaste4Row" localSheetId="19" hidden="1">#REF!</definedName>
    <definedName name="XRefPaste4Row" localSheetId="28" hidden="1">#REF!</definedName>
    <definedName name="XRefPaste4Row" localSheetId="27" hidden="1">#REF!</definedName>
    <definedName name="XRefPaste4Row" localSheetId="29" hidden="1">#REF!</definedName>
    <definedName name="XRefPaste4Row" localSheetId="30" hidden="1">#REF!</definedName>
    <definedName name="XRefPaste4Row" hidden="1">#REF!</definedName>
    <definedName name="XRefPaste5" localSheetId="14" hidden="1">#REF!</definedName>
    <definedName name="XRefPaste5" localSheetId="7" hidden="1">#REF!</definedName>
    <definedName name="XRefPaste5" localSheetId="17" hidden="1">#REF!</definedName>
    <definedName name="XRefPaste5" localSheetId="20" hidden="1">#REF!</definedName>
    <definedName name="XRefPaste5" localSheetId="18" hidden="1">#REF!</definedName>
    <definedName name="XRefPaste5" localSheetId="23" hidden="1">#REF!</definedName>
    <definedName name="XRefPaste5" localSheetId="19" hidden="1">#REF!</definedName>
    <definedName name="XRefPaste5" localSheetId="28" hidden="1">#REF!</definedName>
    <definedName name="XRefPaste5" localSheetId="27" hidden="1">#REF!</definedName>
    <definedName name="XRefPaste5" localSheetId="29" hidden="1">#REF!</definedName>
    <definedName name="XRefPaste5" localSheetId="30" hidden="1">#REF!</definedName>
    <definedName name="XRefPaste5" hidden="1">#REF!</definedName>
    <definedName name="XRefPaste50" localSheetId="14" hidden="1">#REF!</definedName>
    <definedName name="XRefPaste50" localSheetId="7" hidden="1">#REF!</definedName>
    <definedName name="XRefPaste50" localSheetId="17" hidden="1">#REF!</definedName>
    <definedName name="XRefPaste50" localSheetId="20" hidden="1">#REF!</definedName>
    <definedName name="XRefPaste50" localSheetId="18" hidden="1">#REF!</definedName>
    <definedName name="XRefPaste50" localSheetId="23" hidden="1">#REF!</definedName>
    <definedName name="XRefPaste50" localSheetId="19" hidden="1">#REF!</definedName>
    <definedName name="XRefPaste50" localSheetId="28" hidden="1">#REF!</definedName>
    <definedName name="XRefPaste50" localSheetId="27" hidden="1">#REF!</definedName>
    <definedName name="XRefPaste50" localSheetId="29" hidden="1">#REF!</definedName>
    <definedName name="XRefPaste50" localSheetId="30" hidden="1">#REF!</definedName>
    <definedName name="XRefPaste50" hidden="1">#REF!</definedName>
    <definedName name="XRefPaste5Row" localSheetId="14" hidden="1">#REF!</definedName>
    <definedName name="XRefPaste5Row" localSheetId="7" hidden="1">#REF!</definedName>
    <definedName name="XRefPaste5Row" localSheetId="17" hidden="1">#REF!</definedName>
    <definedName name="XRefPaste5Row" localSheetId="20" hidden="1">#REF!</definedName>
    <definedName name="XRefPaste5Row" localSheetId="18" hidden="1">#REF!</definedName>
    <definedName name="XRefPaste5Row" localSheetId="23" hidden="1">#REF!</definedName>
    <definedName name="XRefPaste5Row" localSheetId="19" hidden="1">#REF!</definedName>
    <definedName name="XRefPaste5Row" localSheetId="28" hidden="1">#REF!</definedName>
    <definedName name="XRefPaste5Row" localSheetId="27" hidden="1">#REF!</definedName>
    <definedName name="XRefPaste5Row" localSheetId="29" hidden="1">#REF!</definedName>
    <definedName name="XRefPaste5Row" localSheetId="30" hidden="1">#REF!</definedName>
    <definedName name="XRefPaste5Row" hidden="1">#REF!</definedName>
    <definedName name="XRefPaste6" localSheetId="14" hidden="1">#REF!</definedName>
    <definedName name="XRefPaste6" localSheetId="7" hidden="1">#REF!</definedName>
    <definedName name="XRefPaste6" localSheetId="17" hidden="1">#REF!</definedName>
    <definedName name="XRefPaste6" localSheetId="20" hidden="1">#REF!</definedName>
    <definedName name="XRefPaste6" localSheetId="18" hidden="1">#REF!</definedName>
    <definedName name="XRefPaste6" localSheetId="23" hidden="1">#REF!</definedName>
    <definedName name="XRefPaste6" localSheetId="19" hidden="1">#REF!</definedName>
    <definedName name="XRefPaste6" localSheetId="28" hidden="1">#REF!</definedName>
    <definedName name="XRefPaste6" localSheetId="27" hidden="1">#REF!</definedName>
    <definedName name="XRefPaste6" localSheetId="29" hidden="1">#REF!</definedName>
    <definedName name="XRefPaste6" localSheetId="30" hidden="1">#REF!</definedName>
    <definedName name="XRefPaste6" hidden="1">#REF!</definedName>
    <definedName name="XRefPaste6Row" localSheetId="14" hidden="1">#REF!</definedName>
    <definedName name="XRefPaste6Row" localSheetId="7" hidden="1">#REF!</definedName>
    <definedName name="XRefPaste6Row" localSheetId="17" hidden="1">#REF!</definedName>
    <definedName name="XRefPaste6Row" localSheetId="20" hidden="1">#REF!</definedName>
    <definedName name="XRefPaste6Row" localSheetId="18" hidden="1">#REF!</definedName>
    <definedName name="XRefPaste6Row" localSheetId="23" hidden="1">#REF!</definedName>
    <definedName name="XRefPaste6Row" localSheetId="19" hidden="1">#REF!</definedName>
    <definedName name="XRefPaste6Row" localSheetId="28" hidden="1">#REF!</definedName>
    <definedName name="XRefPaste6Row" localSheetId="27" hidden="1">#REF!</definedName>
    <definedName name="XRefPaste6Row" localSheetId="29" hidden="1">#REF!</definedName>
    <definedName name="XRefPaste6Row" localSheetId="30" hidden="1">#REF!</definedName>
    <definedName name="XRefPaste6Row" hidden="1">#REF!</definedName>
    <definedName name="XRefPaste7" localSheetId="14" hidden="1">#REF!</definedName>
    <definedName name="XRefPaste7" localSheetId="7" hidden="1">#REF!</definedName>
    <definedName name="XRefPaste7" localSheetId="17" hidden="1">#REF!</definedName>
    <definedName name="XRefPaste7" localSheetId="20" hidden="1">#REF!</definedName>
    <definedName name="XRefPaste7" localSheetId="18" hidden="1">#REF!</definedName>
    <definedName name="XRefPaste7" localSheetId="23" hidden="1">#REF!</definedName>
    <definedName name="XRefPaste7" localSheetId="19" hidden="1">#REF!</definedName>
    <definedName name="XRefPaste7" localSheetId="28" hidden="1">#REF!</definedName>
    <definedName name="XRefPaste7" localSheetId="27" hidden="1">#REF!</definedName>
    <definedName name="XRefPaste7" localSheetId="29" hidden="1">#REF!</definedName>
    <definedName name="XRefPaste7" localSheetId="30" hidden="1">#REF!</definedName>
    <definedName name="XRefPaste7" hidden="1">#REF!</definedName>
    <definedName name="XRefPaste7Row" localSheetId="14" hidden="1">#REF!</definedName>
    <definedName name="XRefPaste7Row" localSheetId="7" hidden="1">#REF!</definedName>
    <definedName name="XRefPaste7Row" localSheetId="17" hidden="1">#REF!</definedName>
    <definedName name="XRefPaste7Row" localSheetId="20" hidden="1">#REF!</definedName>
    <definedName name="XRefPaste7Row" localSheetId="18" hidden="1">#REF!</definedName>
    <definedName name="XRefPaste7Row" localSheetId="23" hidden="1">#REF!</definedName>
    <definedName name="XRefPaste7Row" localSheetId="19" hidden="1">#REF!</definedName>
    <definedName name="XRefPaste7Row" localSheetId="28" hidden="1">#REF!</definedName>
    <definedName name="XRefPaste7Row" localSheetId="27" hidden="1">#REF!</definedName>
    <definedName name="XRefPaste7Row" localSheetId="29" hidden="1">#REF!</definedName>
    <definedName name="XRefPaste7Row" localSheetId="30" hidden="1">#REF!</definedName>
    <definedName name="XRefPaste7Row" hidden="1">#REF!</definedName>
    <definedName name="XRefPaste8Row" localSheetId="14" hidden="1">#REF!</definedName>
    <definedName name="XRefPaste8Row" localSheetId="7" hidden="1">#REF!</definedName>
    <definedName name="XRefPaste8Row" localSheetId="17" hidden="1">#REF!</definedName>
    <definedName name="XRefPaste8Row" localSheetId="20" hidden="1">#REF!</definedName>
    <definedName name="XRefPaste8Row" localSheetId="18" hidden="1">#REF!</definedName>
    <definedName name="XRefPaste8Row" localSheetId="23" hidden="1">#REF!</definedName>
    <definedName name="XRefPaste8Row" localSheetId="19" hidden="1">#REF!</definedName>
    <definedName name="XRefPaste8Row" localSheetId="28" hidden="1">#REF!</definedName>
    <definedName name="XRefPaste8Row" localSheetId="27" hidden="1">#REF!</definedName>
    <definedName name="XRefPaste8Row" localSheetId="29" hidden="1">#REF!</definedName>
    <definedName name="XRefPaste8Row" localSheetId="30" hidden="1">#REF!</definedName>
    <definedName name="XRefPaste8Row" hidden="1">#REF!</definedName>
    <definedName name="XRefPaste9" localSheetId="14" hidden="1">#REF!</definedName>
    <definedName name="XRefPaste9" localSheetId="7" hidden="1">#REF!</definedName>
    <definedName name="XRefPaste9" localSheetId="17" hidden="1">#REF!</definedName>
    <definedName name="XRefPaste9" localSheetId="20" hidden="1">#REF!</definedName>
    <definedName name="XRefPaste9" localSheetId="18" hidden="1">#REF!</definedName>
    <definedName name="XRefPaste9" localSheetId="23" hidden="1">#REF!</definedName>
    <definedName name="XRefPaste9" localSheetId="19" hidden="1">#REF!</definedName>
    <definedName name="XRefPaste9" localSheetId="28" hidden="1">#REF!</definedName>
    <definedName name="XRefPaste9" localSheetId="27" hidden="1">#REF!</definedName>
    <definedName name="XRefPaste9" localSheetId="29" hidden="1">#REF!</definedName>
    <definedName name="XRefPaste9" localSheetId="30" hidden="1">#REF!</definedName>
    <definedName name="XRefPaste9" hidden="1">#REF!</definedName>
    <definedName name="XRefPaste9Row" localSheetId="14" hidden="1">#REF!</definedName>
    <definedName name="XRefPaste9Row" localSheetId="7" hidden="1">#REF!</definedName>
    <definedName name="XRefPaste9Row" localSheetId="17" hidden="1">#REF!</definedName>
    <definedName name="XRefPaste9Row" localSheetId="20" hidden="1">#REF!</definedName>
    <definedName name="XRefPaste9Row" localSheetId="18" hidden="1">#REF!</definedName>
    <definedName name="XRefPaste9Row" localSheetId="23" hidden="1">#REF!</definedName>
    <definedName name="XRefPaste9Row" localSheetId="19" hidden="1">#REF!</definedName>
    <definedName name="XRefPaste9Row" localSheetId="28" hidden="1">#REF!</definedName>
    <definedName name="XRefPaste9Row" localSheetId="27" hidden="1">#REF!</definedName>
    <definedName name="XRefPaste9Row" localSheetId="29" hidden="1">#REF!</definedName>
    <definedName name="XRefPaste9Row" localSheetId="30" hidden="1">#REF!</definedName>
    <definedName name="XRefPaste9Row" hidden="1">#REF!</definedName>
    <definedName name="XRefPasteRangeCount" hidden="1">5</definedName>
    <definedName name="XX" localSheetId="14">#REF!</definedName>
    <definedName name="XX" localSheetId="7">#REF!</definedName>
    <definedName name="XX" localSheetId="17">#REF!</definedName>
    <definedName name="XX" localSheetId="20">#REF!</definedName>
    <definedName name="XX" localSheetId="5">#REF!</definedName>
    <definedName name="XX" localSheetId="18">#REF!</definedName>
    <definedName name="XX" localSheetId="25">#REF!</definedName>
    <definedName name="XX" localSheetId="22">#REF!</definedName>
    <definedName name="XX" localSheetId="21">#REF!</definedName>
    <definedName name="XX" localSheetId="23">#REF!</definedName>
    <definedName name="XX" localSheetId="19">#REF!</definedName>
    <definedName name="XX" localSheetId="28">#REF!</definedName>
    <definedName name="XX" localSheetId="27">#REF!</definedName>
    <definedName name="XX" localSheetId="29">#REF!</definedName>
    <definedName name="XX" localSheetId="30">#REF!</definedName>
    <definedName name="XX">#REF!</definedName>
    <definedName name="XXX" localSheetId="14">#REF!</definedName>
    <definedName name="XXX" localSheetId="7">#REF!</definedName>
    <definedName name="XXX" localSheetId="17">#REF!</definedName>
    <definedName name="XXX" localSheetId="20">#REF!</definedName>
    <definedName name="XXX" localSheetId="5">#REF!</definedName>
    <definedName name="XXX" localSheetId="18">#REF!</definedName>
    <definedName name="XXX" localSheetId="25">#REF!</definedName>
    <definedName name="XXX" localSheetId="22">#REF!</definedName>
    <definedName name="XXX" localSheetId="21">#REF!</definedName>
    <definedName name="XXX" localSheetId="23">#REF!</definedName>
    <definedName name="XXX" localSheetId="19">#REF!</definedName>
    <definedName name="XXX" localSheetId="28">#REF!</definedName>
    <definedName name="XXX" localSheetId="27">#REF!</definedName>
    <definedName name="XXX" localSheetId="29">#REF!</definedName>
    <definedName name="XXX" localSheetId="30">#REF!</definedName>
    <definedName name="XXX">#REF!</definedName>
    <definedName name="yes" localSheetId="30" hidden="1">{#N/A,#N/A,FALSE,"Aging Summary";#N/A,#N/A,FALSE,"Ratio Analysis";#N/A,#N/A,FALSE,"Test 120 Day Accts";#N/A,#N/A,FALSE,"Tickmarks"}</definedName>
    <definedName name="yes" hidden="1">{#N/A,#N/A,FALSE,"Aging Summary";#N/A,#N/A,FALSE,"Ratio Analysis";#N/A,#N/A,FALSE,"Test 120 Day Accts";#N/A,#N/A,FALSE,"Tickmarks"}</definedName>
    <definedName name="yui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localSheetId="30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y" localSheetId="30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localSheetId="30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14" hidden="1">#REF!</definedName>
    <definedName name="Z_02B13A4A_FC5F_4F48_B0B3_5EAEDDC95ABC_.wvu.FilterData" localSheetId="7" hidden="1">#REF!</definedName>
    <definedName name="Z_02B13A4A_FC5F_4F48_B0B3_5EAEDDC95ABC_.wvu.FilterData" localSheetId="17" hidden="1">#REF!</definedName>
    <definedName name="Z_02B13A4A_FC5F_4F48_B0B3_5EAEDDC95ABC_.wvu.FilterData" localSheetId="20" hidden="1">#REF!</definedName>
    <definedName name="Z_02B13A4A_FC5F_4F48_B0B3_5EAEDDC95ABC_.wvu.FilterData" localSheetId="18" hidden="1">#REF!</definedName>
    <definedName name="Z_02B13A4A_FC5F_4F48_B0B3_5EAEDDC95ABC_.wvu.FilterData" localSheetId="23" hidden="1">#REF!</definedName>
    <definedName name="Z_02B13A4A_FC5F_4F48_B0B3_5EAEDDC95ABC_.wvu.FilterData" localSheetId="19" hidden="1">#REF!</definedName>
    <definedName name="Z_02B13A4A_FC5F_4F48_B0B3_5EAEDDC95ABC_.wvu.FilterData" localSheetId="28" hidden="1">#REF!</definedName>
    <definedName name="Z_02B13A4A_FC5F_4F48_B0B3_5EAEDDC95ABC_.wvu.FilterData" localSheetId="27" hidden="1">#REF!</definedName>
    <definedName name="Z_02B13A4A_FC5F_4F48_B0B3_5EAEDDC95ABC_.wvu.FilterData" localSheetId="29" hidden="1">#REF!</definedName>
    <definedName name="Z_02B13A4A_FC5F_4F48_B0B3_5EAEDDC95ABC_.wvu.FilterData" localSheetId="30" hidden="1">#REF!</definedName>
    <definedName name="Z_02B13A4A_FC5F_4F48_B0B3_5EAEDDC95ABC_.wvu.FilterData" hidden="1">#REF!</definedName>
    <definedName name="Z_02B13A4A_FC5F_4F48_B0B3_5EAEDDC95ABC_.wvu.PrintArea" localSheetId="14" hidden="1">#REF!</definedName>
    <definedName name="Z_02B13A4A_FC5F_4F48_B0B3_5EAEDDC95ABC_.wvu.PrintArea" localSheetId="7" hidden="1">#REF!</definedName>
    <definedName name="Z_02B13A4A_FC5F_4F48_B0B3_5EAEDDC95ABC_.wvu.PrintArea" localSheetId="17" hidden="1">#REF!</definedName>
    <definedName name="Z_02B13A4A_FC5F_4F48_B0B3_5EAEDDC95ABC_.wvu.PrintArea" localSheetId="20" hidden="1">#REF!</definedName>
    <definedName name="Z_02B13A4A_FC5F_4F48_B0B3_5EAEDDC95ABC_.wvu.PrintArea" localSheetId="18" hidden="1">#REF!</definedName>
    <definedName name="Z_02B13A4A_FC5F_4F48_B0B3_5EAEDDC95ABC_.wvu.PrintArea" localSheetId="23" hidden="1">#REF!</definedName>
    <definedName name="Z_02B13A4A_FC5F_4F48_B0B3_5EAEDDC95ABC_.wvu.PrintArea" localSheetId="19" hidden="1">#REF!</definedName>
    <definedName name="Z_02B13A4A_FC5F_4F48_B0B3_5EAEDDC95ABC_.wvu.PrintArea" localSheetId="28" hidden="1">#REF!</definedName>
    <definedName name="Z_02B13A4A_FC5F_4F48_B0B3_5EAEDDC95ABC_.wvu.PrintArea" localSheetId="27" hidden="1">#REF!</definedName>
    <definedName name="Z_02B13A4A_FC5F_4F48_B0B3_5EAEDDC95ABC_.wvu.PrintArea" localSheetId="29" hidden="1">#REF!</definedName>
    <definedName name="Z_02B13A4A_FC5F_4F48_B0B3_5EAEDDC95ABC_.wvu.PrintArea" localSheetId="30" hidden="1">#REF!</definedName>
    <definedName name="Z_02B13A4A_FC5F_4F48_B0B3_5EAEDDC95ABC_.wvu.PrintArea" hidden="1">#REF!</definedName>
    <definedName name="Z_D68BB41E_D2D2_4D29_B750_BEA70A594FF0_.wvu.PrintArea" localSheetId="14" hidden="1">#REF!</definedName>
    <definedName name="Z_D68BB41E_D2D2_4D29_B750_BEA70A594FF0_.wvu.PrintArea" localSheetId="7" hidden="1">#REF!</definedName>
    <definedName name="Z_D68BB41E_D2D2_4D29_B750_BEA70A594FF0_.wvu.PrintArea" localSheetId="17" hidden="1">#REF!</definedName>
    <definedName name="Z_D68BB41E_D2D2_4D29_B750_BEA70A594FF0_.wvu.PrintArea" localSheetId="20" hidden="1">#REF!</definedName>
    <definedName name="Z_D68BB41E_D2D2_4D29_B750_BEA70A594FF0_.wvu.PrintArea" localSheetId="18" hidden="1">#REF!</definedName>
    <definedName name="Z_D68BB41E_D2D2_4D29_B750_BEA70A594FF0_.wvu.PrintArea" localSheetId="23" hidden="1">#REF!</definedName>
    <definedName name="Z_D68BB41E_D2D2_4D29_B750_BEA70A594FF0_.wvu.PrintArea" localSheetId="19" hidden="1">#REF!</definedName>
    <definedName name="Z_D68BB41E_D2D2_4D29_B750_BEA70A594FF0_.wvu.PrintArea" localSheetId="28" hidden="1">#REF!</definedName>
    <definedName name="Z_D68BB41E_D2D2_4D29_B750_BEA70A594FF0_.wvu.PrintArea" localSheetId="27" hidden="1">#REF!</definedName>
    <definedName name="Z_D68BB41E_D2D2_4D29_B750_BEA70A594FF0_.wvu.PrintArea" localSheetId="29" hidden="1">#REF!</definedName>
    <definedName name="Z_D68BB41E_D2D2_4D29_B750_BEA70A594FF0_.wvu.PrintArea" localSheetId="30" hidden="1">#REF!</definedName>
    <definedName name="Z_D68BB41E_D2D2_4D29_B750_BEA70A594FF0_.wvu.PrintArea" hidden="1">#REF!</definedName>
    <definedName name="Z_D68BB41E_D2D2_4D29_B750_BEA70A594FF0_.wvu.Rows" localSheetId="14" hidden="1">#REF!,#REF!</definedName>
    <definedName name="Z_D68BB41E_D2D2_4D29_B750_BEA70A594FF0_.wvu.Rows" localSheetId="7" hidden="1">#REF!,#REF!</definedName>
    <definedName name="Z_D68BB41E_D2D2_4D29_B750_BEA70A594FF0_.wvu.Rows" localSheetId="17" hidden="1">#REF!,#REF!</definedName>
    <definedName name="Z_D68BB41E_D2D2_4D29_B750_BEA70A594FF0_.wvu.Rows" localSheetId="20" hidden="1">#REF!,#REF!</definedName>
    <definedName name="Z_D68BB41E_D2D2_4D29_B750_BEA70A594FF0_.wvu.Rows" localSheetId="18" hidden="1">#REF!,#REF!</definedName>
    <definedName name="Z_D68BB41E_D2D2_4D29_B750_BEA70A594FF0_.wvu.Rows" localSheetId="23" hidden="1">#REF!,#REF!</definedName>
    <definedName name="Z_D68BB41E_D2D2_4D29_B750_BEA70A594FF0_.wvu.Rows" localSheetId="19" hidden="1">#REF!,#REF!</definedName>
    <definedName name="Z_D68BB41E_D2D2_4D29_B750_BEA70A594FF0_.wvu.Rows" localSheetId="28" hidden="1">#REF!,#REF!</definedName>
    <definedName name="Z_D68BB41E_D2D2_4D29_B750_BEA70A594FF0_.wvu.Rows" localSheetId="27" hidden="1">#REF!,#REF!</definedName>
    <definedName name="Z_D68BB41E_D2D2_4D29_B750_BEA70A594FF0_.wvu.Rows" localSheetId="29" hidden="1">#REF!,#REF!</definedName>
    <definedName name="Z_D68BB41E_D2D2_4D29_B750_BEA70A594FF0_.wvu.Rows" localSheetId="30" hidden="1">#REF!,#REF!</definedName>
    <definedName name="Z_D68BB41E_D2D2_4D29_B750_BEA70A594FF0_.wvu.Rows" hidden="1">#REF!,#REF!</definedName>
  </definedNames>
  <calcPr calcId="144525"/>
</workbook>
</file>

<file path=xl/calcChain.xml><?xml version="1.0" encoding="utf-8"?>
<calcChain xmlns="http://schemas.openxmlformats.org/spreadsheetml/2006/main">
  <c r="F40" i="28" l="1"/>
  <c r="M45" i="33"/>
  <c r="G14" i="29"/>
  <c r="G11" i="29"/>
  <c r="F26" i="28"/>
  <c r="F10" i="28"/>
  <c r="F33" i="28"/>
  <c r="F29" i="28"/>
  <c r="F27" i="28"/>
  <c r="F18" i="28"/>
  <c r="F16" i="28"/>
  <c r="F13" i="28"/>
  <c r="F9" i="28"/>
  <c r="F8" i="28"/>
  <c r="G47" i="42"/>
  <c r="G43" i="42"/>
  <c r="G46" i="42"/>
  <c r="G41" i="42"/>
  <c r="G40" i="42"/>
  <c r="G13" i="42"/>
  <c r="I40" i="41"/>
  <c r="I39" i="41"/>
  <c r="I41" i="41" s="1"/>
  <c r="D62" i="41"/>
  <c r="D61" i="41"/>
  <c r="B62" i="41"/>
  <c r="F36" i="27"/>
  <c r="F22" i="27"/>
  <c r="G44" i="18"/>
  <c r="E112" i="34"/>
  <c r="E111" i="34"/>
  <c r="L17" i="35"/>
  <c r="D38" i="23"/>
  <c r="G29" i="23"/>
  <c r="G34" i="23"/>
  <c r="G31" i="23"/>
  <c r="G16" i="23"/>
  <c r="G10" i="23"/>
  <c r="G46" i="32"/>
  <c r="G47" i="32"/>
  <c r="D47" i="32"/>
  <c r="X23" i="47" l="1"/>
  <c r="G23" i="47"/>
  <c r="C98" i="47"/>
  <c r="C97" i="47"/>
  <c r="AL94" i="47"/>
  <c r="C93" i="47"/>
  <c r="Z92" i="47"/>
  <c r="AJ90" i="47"/>
  <c r="AI90" i="47"/>
  <c r="AH90" i="47"/>
  <c r="AG90" i="47"/>
  <c r="AF90" i="47"/>
  <c r="AE90" i="47"/>
  <c r="AD90" i="47"/>
  <c r="AC90" i="47"/>
  <c r="AB90" i="47"/>
  <c r="AA90" i="47"/>
  <c r="Z90" i="47"/>
  <c r="Y90" i="47"/>
  <c r="X90" i="47"/>
  <c r="W90" i="47"/>
  <c r="V90" i="47"/>
  <c r="U90" i="47"/>
  <c r="T90" i="47"/>
  <c r="S90" i="47"/>
  <c r="R90" i="47"/>
  <c r="Q90" i="47"/>
  <c r="P90" i="47"/>
  <c r="O90" i="47"/>
  <c r="N90" i="47"/>
  <c r="M90" i="47"/>
  <c r="L90" i="47"/>
  <c r="K90" i="47"/>
  <c r="J90" i="47"/>
  <c r="I90" i="47"/>
  <c r="H90" i="47"/>
  <c r="G90" i="47"/>
  <c r="F90" i="47"/>
  <c r="C90" i="47"/>
  <c r="AJ82" i="47"/>
  <c r="AH82" i="47"/>
  <c r="AE82" i="47"/>
  <c r="AD82" i="47"/>
  <c r="AC82" i="47"/>
  <c r="Y82" i="47"/>
  <c r="V82" i="47"/>
  <c r="T82" i="47"/>
  <c r="S82" i="47"/>
  <c r="R82" i="47"/>
  <c r="Q82" i="47"/>
  <c r="P82" i="47"/>
  <c r="O82" i="47"/>
  <c r="N82" i="47"/>
  <c r="M82" i="47"/>
  <c r="L82" i="47"/>
  <c r="J82" i="47"/>
  <c r="H82" i="47"/>
  <c r="C82" i="47"/>
  <c r="I40" i="47"/>
  <c r="I82" i="47" s="1"/>
  <c r="F40" i="47"/>
  <c r="G39" i="47"/>
  <c r="Z39" i="47" s="1"/>
  <c r="F39" i="47"/>
  <c r="G38" i="47"/>
  <c r="Z38" i="47" s="1"/>
  <c r="F38" i="47"/>
  <c r="B38" i="47"/>
  <c r="G37" i="47"/>
  <c r="Z37" i="47" s="1"/>
  <c r="F37" i="47"/>
  <c r="F82" i="47" s="1"/>
  <c r="B37" i="47"/>
  <c r="Z31" i="47"/>
  <c r="F30" i="47"/>
  <c r="F29" i="47"/>
  <c r="G28" i="47"/>
  <c r="F28" i="47"/>
  <c r="F24" i="47"/>
  <c r="F23" i="47"/>
  <c r="F22" i="47"/>
  <c r="F21" i="47"/>
  <c r="AH19" i="47"/>
  <c r="AD19" i="47"/>
  <c r="Z19" i="47"/>
  <c r="V19" i="47"/>
  <c r="V20" i="47" s="1"/>
  <c r="V25" i="47" s="1"/>
  <c r="V35" i="47" s="1"/>
  <c r="V94" i="47" s="1"/>
  <c r="R19" i="47"/>
  <c r="N19" i="47"/>
  <c r="J19" i="47"/>
  <c r="J20" i="47" s="1"/>
  <c r="J25" i="47" s="1"/>
  <c r="J35" i="47" s="1"/>
  <c r="J94" i="47" s="1"/>
  <c r="AJ19" i="47"/>
  <c r="AI19" i="47"/>
  <c r="AH20" i="47"/>
  <c r="AH25" i="47" s="1"/>
  <c r="AH35" i="47" s="1"/>
  <c r="AH94" i="47" s="1"/>
  <c r="AF19" i="47"/>
  <c r="AD20" i="47"/>
  <c r="AD25" i="47" s="1"/>
  <c r="AD35" i="47" s="1"/>
  <c r="AB19" i="47"/>
  <c r="AA19" i="47"/>
  <c r="Z20" i="47"/>
  <c r="Z25" i="47" s="1"/>
  <c r="Z35" i="47" s="1"/>
  <c r="T19" i="47"/>
  <c r="S19" i="47"/>
  <c r="R20" i="47"/>
  <c r="R25" i="47" s="1"/>
  <c r="R35" i="47" s="1"/>
  <c r="R94" i="47" s="1"/>
  <c r="P19" i="47"/>
  <c r="O19" i="47"/>
  <c r="N20" i="47"/>
  <c r="N25" i="47" s="1"/>
  <c r="N35" i="47" s="1"/>
  <c r="N94" i="47" s="1"/>
  <c r="L19" i="47"/>
  <c r="K19" i="47"/>
  <c r="H17" i="47"/>
  <c r="H19" i="47" s="1"/>
  <c r="AB10" i="47"/>
  <c r="Z93" i="47" l="1"/>
  <c r="AD94" i="47"/>
  <c r="AM35" i="47"/>
  <c r="W19" i="47"/>
  <c r="W20" i="47" s="1"/>
  <c r="W25" i="47" s="1"/>
  <c r="W35" i="47" s="1"/>
  <c r="W94" i="47" s="1"/>
  <c r="I19" i="47"/>
  <c r="I20" i="47" s="1"/>
  <c r="I25" i="47" s="1"/>
  <c r="I35" i="47" s="1"/>
  <c r="I94" i="47" s="1"/>
  <c r="M19" i="47"/>
  <c r="M20" i="47" s="1"/>
  <c r="M25" i="47" s="1"/>
  <c r="M35" i="47" s="1"/>
  <c r="M94" i="47" s="1"/>
  <c r="Q19" i="47"/>
  <c r="Q20" i="47" s="1"/>
  <c r="Q25" i="47" s="1"/>
  <c r="Q35" i="47" s="1"/>
  <c r="Q94" i="47" s="1"/>
  <c r="U19" i="47"/>
  <c r="U20" i="47" s="1"/>
  <c r="U25" i="47" s="1"/>
  <c r="U35" i="47" s="1"/>
  <c r="U94" i="47" s="1"/>
  <c r="Y19" i="47"/>
  <c r="Y20" i="47" s="1"/>
  <c r="Y25" i="47" s="1"/>
  <c r="Y35" i="47" s="1"/>
  <c r="Y94" i="47" s="1"/>
  <c r="AC19" i="47"/>
  <c r="AC20" i="47" s="1"/>
  <c r="AC25" i="47" s="1"/>
  <c r="AC35" i="47" s="1"/>
  <c r="AC94" i="47" s="1"/>
  <c r="AG19" i="47"/>
  <c r="AG20" i="47" s="1"/>
  <c r="AG25" i="47" s="1"/>
  <c r="AG35" i="47" s="1"/>
  <c r="AG94" i="47" s="1"/>
  <c r="Z40" i="47"/>
  <c r="Z82" i="47" s="1"/>
  <c r="K20" i="47"/>
  <c r="K25" i="47" s="1"/>
  <c r="K35" i="47" s="1"/>
  <c r="K94" i="47" s="1"/>
  <c r="O20" i="47"/>
  <c r="O25" i="47" s="1"/>
  <c r="O35" i="47" s="1"/>
  <c r="O94" i="47" s="1"/>
  <c r="S20" i="47"/>
  <c r="S25" i="47" s="1"/>
  <c r="S35" i="47" s="1"/>
  <c r="S94" i="47" s="1"/>
  <c r="AA20" i="47"/>
  <c r="AA25" i="47" s="1"/>
  <c r="AA35" i="47" s="1"/>
  <c r="AA94" i="47" s="1"/>
  <c r="AE20" i="47"/>
  <c r="AE25" i="47" s="1"/>
  <c r="AI20" i="47"/>
  <c r="AI25" i="47" s="1"/>
  <c r="AI35" i="47" s="1"/>
  <c r="AI94" i="47" s="1"/>
  <c r="H20" i="47"/>
  <c r="H25" i="47" s="1"/>
  <c r="H35" i="47" s="1"/>
  <c r="H94" i="47" s="1"/>
  <c r="L20" i="47"/>
  <c r="L25" i="47" s="1"/>
  <c r="L35" i="47" s="1"/>
  <c r="L94" i="47" s="1"/>
  <c r="P20" i="47"/>
  <c r="P25" i="47" s="1"/>
  <c r="P35" i="47" s="1"/>
  <c r="P94" i="47" s="1"/>
  <c r="T20" i="47"/>
  <c r="T25" i="47" s="1"/>
  <c r="T35" i="47" s="1"/>
  <c r="T94" i="47" s="1"/>
  <c r="AB20" i="47"/>
  <c r="AB25" i="47" s="1"/>
  <c r="AB35" i="47" s="1"/>
  <c r="AB94" i="47" s="1"/>
  <c r="AF20" i="47"/>
  <c r="AF25" i="47" s="1"/>
  <c r="AF35" i="47" s="1"/>
  <c r="AF94" i="47" s="1"/>
  <c r="AJ20" i="47"/>
  <c r="AJ25" i="47" s="1"/>
  <c r="AJ35" i="47" s="1"/>
  <c r="G82" i="47"/>
  <c r="AE19" i="47"/>
  <c r="Z94" i="47" l="1"/>
  <c r="AE35" i="47"/>
  <c r="AM77" i="47"/>
  <c r="AM38" i="47"/>
  <c r="AJ94" i="47"/>
  <c r="AE94" i="47" l="1"/>
  <c r="AM36" i="47"/>
  <c r="AE10" i="47"/>
  <c r="AM61" i="47" l="1"/>
  <c r="AM37" i="47"/>
  <c r="AM46" i="47" l="1"/>
  <c r="AM39" i="47"/>
  <c r="V29" i="46" l="1"/>
  <c r="H29" i="46"/>
  <c r="I29" i="46"/>
  <c r="L10" i="45"/>
  <c r="L7" i="45"/>
  <c r="AI46" i="46"/>
  <c r="V45" i="46"/>
  <c r="E44" i="46"/>
  <c r="V44" i="46" s="1"/>
  <c r="E42" i="46"/>
  <c r="AG34" i="46"/>
  <c r="AF34" i="46"/>
  <c r="AE34" i="46"/>
  <c r="AD34" i="46"/>
  <c r="AC34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G34" i="46"/>
  <c r="F34" i="46"/>
  <c r="H33" i="46"/>
  <c r="E33" i="46"/>
  <c r="H32" i="46"/>
  <c r="E32" i="46"/>
  <c r="H31" i="46"/>
  <c r="E31" i="46"/>
  <c r="H30" i="46"/>
  <c r="E30" i="46"/>
  <c r="AA27" i="46"/>
  <c r="AA46" i="46" s="1"/>
  <c r="K27" i="46"/>
  <c r="K46" i="46" s="1"/>
  <c r="H22" i="46"/>
  <c r="H21" i="46"/>
  <c r="E21" i="46"/>
  <c r="J18" i="46"/>
  <c r="H18" i="46" s="1"/>
  <c r="AG16" i="46"/>
  <c r="AG27" i="46" s="1"/>
  <c r="AF16" i="46"/>
  <c r="AF27" i="46" s="1"/>
  <c r="AF46" i="46" s="1"/>
  <c r="AE16" i="46"/>
  <c r="AE27" i="46" s="1"/>
  <c r="AE46" i="46" s="1"/>
  <c r="AD16" i="46"/>
  <c r="AD27" i="46" s="1"/>
  <c r="AC16" i="46"/>
  <c r="AC12" i="46" s="1"/>
  <c r="AB16" i="46"/>
  <c r="AB27" i="46" s="1"/>
  <c r="AB46" i="46" s="1"/>
  <c r="AA16" i="46"/>
  <c r="Z16" i="46"/>
  <c r="Z27" i="46" s="1"/>
  <c r="Z46" i="46" s="1"/>
  <c r="Y16" i="46"/>
  <c r="Y27" i="46" s="1"/>
  <c r="Y46" i="46" s="1"/>
  <c r="X16" i="46"/>
  <c r="X27" i="46" s="1"/>
  <c r="X46" i="46" s="1"/>
  <c r="W16" i="46"/>
  <c r="W27" i="46" s="1"/>
  <c r="W46" i="46" s="1"/>
  <c r="U16" i="46"/>
  <c r="U27" i="46" s="1"/>
  <c r="U46" i="46" s="1"/>
  <c r="T16" i="46"/>
  <c r="T27" i="46" s="1"/>
  <c r="T46" i="46" s="1"/>
  <c r="S16" i="46"/>
  <c r="S27" i="46" s="1"/>
  <c r="S46" i="46" s="1"/>
  <c r="R16" i="46"/>
  <c r="R27" i="46" s="1"/>
  <c r="R46" i="46" s="1"/>
  <c r="Q16" i="46"/>
  <c r="Q27" i="46" s="1"/>
  <c r="Q46" i="46" s="1"/>
  <c r="P16" i="46"/>
  <c r="P27" i="46" s="1"/>
  <c r="P46" i="46" s="1"/>
  <c r="O16" i="46"/>
  <c r="O27" i="46" s="1"/>
  <c r="O46" i="46" s="1"/>
  <c r="N16" i="46"/>
  <c r="N27" i="46" s="1"/>
  <c r="N46" i="46" s="1"/>
  <c r="M16" i="46"/>
  <c r="M27" i="46" s="1"/>
  <c r="M46" i="46" s="1"/>
  <c r="L16" i="46"/>
  <c r="L27" i="46" s="1"/>
  <c r="L46" i="46" s="1"/>
  <c r="K16" i="46"/>
  <c r="J16" i="46"/>
  <c r="I16" i="46"/>
  <c r="H14" i="46"/>
  <c r="H16" i="46" s="1"/>
  <c r="L5" i="45"/>
  <c r="L21" i="44"/>
  <c r="L20" i="44"/>
  <c r="V29" i="39"/>
  <c r="G65" i="38"/>
  <c r="G49" i="38"/>
  <c r="G50" i="38"/>
  <c r="G51" i="38"/>
  <c r="F37" i="38"/>
  <c r="E33" i="38"/>
  <c r="F33" i="38"/>
  <c r="D50" i="38"/>
  <c r="D48" i="38"/>
  <c r="D43" i="38"/>
  <c r="D57" i="38"/>
  <c r="D56" i="38"/>
  <c r="D39" i="38"/>
  <c r="D19" i="38"/>
  <c r="D6" i="38"/>
  <c r="S23" i="6"/>
  <c r="S22" i="6"/>
  <c r="R22" i="6"/>
  <c r="D50" i="41"/>
  <c r="G50" i="41"/>
  <c r="G51" i="42"/>
  <c r="G50" i="42"/>
  <c r="G49" i="42"/>
  <c r="G48" i="42"/>
  <c r="G45" i="42"/>
  <c r="G38" i="42"/>
  <c r="G37" i="42"/>
  <c r="G35" i="42"/>
  <c r="G33" i="42"/>
  <c r="G22" i="42"/>
  <c r="G19" i="42"/>
  <c r="G12" i="42"/>
  <c r="G39" i="42" s="1"/>
  <c r="I36" i="41"/>
  <c r="G23" i="42" s="1"/>
  <c r="I35" i="41"/>
  <c r="I32" i="41"/>
  <c r="I33" i="41" s="1"/>
  <c r="I31" i="41"/>
  <c r="F35" i="41"/>
  <c r="F37" i="41"/>
  <c r="G37" i="41" s="1"/>
  <c r="V3" i="6"/>
  <c r="V10" i="6" s="1"/>
  <c r="W11" i="6" s="1"/>
  <c r="W10" i="6"/>
  <c r="V5" i="6"/>
  <c r="W4" i="6"/>
  <c r="F50" i="41"/>
  <c r="G25" i="42" s="1"/>
  <c r="G53" i="42" s="1"/>
  <c r="G34" i="41"/>
  <c r="G38" i="41"/>
  <c r="G40" i="41"/>
  <c r="G41" i="41"/>
  <c r="G42" i="41"/>
  <c r="G44" i="41"/>
  <c r="G45" i="41"/>
  <c r="G46" i="41"/>
  <c r="G47" i="41"/>
  <c r="G48" i="41"/>
  <c r="G49" i="41"/>
  <c r="G51" i="41"/>
  <c r="G53" i="41"/>
  <c r="G54" i="41"/>
  <c r="G30" i="41"/>
  <c r="G31" i="41"/>
  <c r="G32" i="41"/>
  <c r="G33" i="41"/>
  <c r="E50" i="41"/>
  <c r="G8" i="42" s="1"/>
  <c r="E33" i="41"/>
  <c r="G7" i="42" s="1"/>
  <c r="W19" i="6"/>
  <c r="R20" i="6"/>
  <c r="R19" i="6"/>
  <c r="S18" i="6"/>
  <c r="S17" i="6"/>
  <c r="S16" i="6"/>
  <c r="S15" i="6"/>
  <c r="R15" i="6"/>
  <c r="F33" i="41"/>
  <c r="G20" i="42" s="1"/>
  <c r="E6" i="41"/>
  <c r="E5" i="41" s="1"/>
  <c r="E29" i="41" s="1"/>
  <c r="M17" i="6"/>
  <c r="F8" i="41"/>
  <c r="G5" i="42" s="1"/>
  <c r="O19" i="6"/>
  <c r="O18" i="6"/>
  <c r="O17" i="6"/>
  <c r="N16" i="6"/>
  <c r="N15" i="6"/>
  <c r="O20" i="6"/>
  <c r="N17" i="6"/>
  <c r="R5" i="6"/>
  <c r="S4" i="6"/>
  <c r="R3" i="6"/>
  <c r="F36" i="41"/>
  <c r="G21" i="42" s="1"/>
  <c r="E35" i="41"/>
  <c r="G11" i="42" s="1"/>
  <c r="O8" i="6"/>
  <c r="O7" i="6"/>
  <c r="O6" i="6"/>
  <c r="N5" i="6"/>
  <c r="N4" i="6"/>
  <c r="N3" i="6"/>
  <c r="D43" i="41"/>
  <c r="G43" i="41" s="1"/>
  <c r="D58" i="41"/>
  <c r="G9" i="42" s="1"/>
  <c r="G36" i="42" s="1"/>
  <c r="B58" i="41"/>
  <c r="D64" i="41"/>
  <c r="G15" i="42" s="1"/>
  <c r="G42" i="42" s="1"/>
  <c r="B64" i="41"/>
  <c r="D60" i="41"/>
  <c r="D59" i="41"/>
  <c r="B60" i="41"/>
  <c r="B59" i="41"/>
  <c r="D57" i="41"/>
  <c r="G16" i="42" s="1"/>
  <c r="D63" i="41"/>
  <c r="G10" i="42" s="1"/>
  <c r="G14" i="42"/>
  <c r="D39" i="41"/>
  <c r="G39" i="41" s="1"/>
  <c r="D35" i="41"/>
  <c r="G17" i="41"/>
  <c r="G18" i="41"/>
  <c r="D19" i="41"/>
  <c r="G19" i="41" s="1"/>
  <c r="D10" i="41"/>
  <c r="D16" i="41"/>
  <c r="D15" i="41" s="1"/>
  <c r="D6" i="41"/>
  <c r="G6" i="41" s="1"/>
  <c r="D80" i="43"/>
  <c r="F80" i="43" s="1"/>
  <c r="E79" i="43"/>
  <c r="I79" i="43" s="1"/>
  <c r="D79" i="43"/>
  <c r="F79" i="43" s="1"/>
  <c r="J79" i="43" s="1"/>
  <c r="F78" i="43"/>
  <c r="J78" i="43" s="1"/>
  <c r="E78" i="43"/>
  <c r="I78" i="43" s="1"/>
  <c r="D78" i="43"/>
  <c r="I77" i="43"/>
  <c r="F77" i="43"/>
  <c r="J77" i="43" s="1"/>
  <c r="E77" i="43"/>
  <c r="D77" i="43"/>
  <c r="D76" i="43"/>
  <c r="F76" i="43" s="1"/>
  <c r="F75" i="43"/>
  <c r="E75" i="43"/>
  <c r="J75" i="43" s="1"/>
  <c r="E74" i="43"/>
  <c r="I74" i="43" s="1"/>
  <c r="C74" i="43"/>
  <c r="F74" i="43" s="1"/>
  <c r="J74" i="43" s="1"/>
  <c r="F73" i="43"/>
  <c r="J73" i="43" s="1"/>
  <c r="E73" i="43"/>
  <c r="I73" i="43" s="1"/>
  <c r="C73" i="43"/>
  <c r="C71" i="43"/>
  <c r="F71" i="43" s="1"/>
  <c r="E70" i="43"/>
  <c r="I70" i="43" s="1"/>
  <c r="C70" i="43"/>
  <c r="F70" i="43" s="1"/>
  <c r="J70" i="43" s="1"/>
  <c r="F69" i="43"/>
  <c r="J69" i="43" s="1"/>
  <c r="E69" i="43"/>
  <c r="I69" i="43" s="1"/>
  <c r="C69" i="43"/>
  <c r="I68" i="43"/>
  <c r="F68" i="43"/>
  <c r="J68" i="43" s="1"/>
  <c r="E68" i="43"/>
  <c r="C68" i="43"/>
  <c r="C67" i="43"/>
  <c r="F67" i="43" s="1"/>
  <c r="E66" i="43"/>
  <c r="I66" i="43" s="1"/>
  <c r="C66" i="43"/>
  <c r="F66" i="43" s="1"/>
  <c r="J66" i="43" s="1"/>
  <c r="F65" i="43"/>
  <c r="J65" i="43" s="1"/>
  <c r="E65" i="43"/>
  <c r="I65" i="43" s="1"/>
  <c r="C65" i="43"/>
  <c r="I64" i="43"/>
  <c r="F64" i="43"/>
  <c r="J64" i="43" s="1"/>
  <c r="E64" i="43"/>
  <c r="C64" i="43"/>
  <c r="J63" i="43"/>
  <c r="I63" i="43"/>
  <c r="F63" i="43"/>
  <c r="E63" i="43"/>
  <c r="J62" i="43"/>
  <c r="I62" i="43"/>
  <c r="F62" i="43"/>
  <c r="E62" i="43"/>
  <c r="J60" i="43"/>
  <c r="I60" i="43"/>
  <c r="F60" i="43"/>
  <c r="E60" i="43"/>
  <c r="C59" i="43"/>
  <c r="F59" i="43" s="1"/>
  <c r="E58" i="43"/>
  <c r="C58" i="43"/>
  <c r="F58" i="43" s="1"/>
  <c r="J58" i="43" s="1"/>
  <c r="F57" i="43"/>
  <c r="J57" i="43" s="1"/>
  <c r="E57" i="43"/>
  <c r="I57" i="43" s="1"/>
  <c r="C57" i="43"/>
  <c r="I56" i="43"/>
  <c r="F56" i="43"/>
  <c r="J56" i="43" s="1"/>
  <c r="E56" i="43"/>
  <c r="I55" i="43"/>
  <c r="F55" i="43"/>
  <c r="J55" i="43" s="1"/>
  <c r="E55" i="43"/>
  <c r="C55" i="43"/>
  <c r="C54" i="43"/>
  <c r="F54" i="43" s="1"/>
  <c r="E53" i="43"/>
  <c r="D53" i="43"/>
  <c r="F53" i="43" s="1"/>
  <c r="J53" i="43" s="1"/>
  <c r="C53" i="43"/>
  <c r="F52" i="43"/>
  <c r="E52" i="43"/>
  <c r="I52" i="43" s="1"/>
  <c r="C52" i="43"/>
  <c r="D49" i="43"/>
  <c r="C49" i="43"/>
  <c r="F49" i="43" s="1"/>
  <c r="H49" i="43" s="1"/>
  <c r="E48" i="43"/>
  <c r="G48" i="43" s="1"/>
  <c r="D48" i="43"/>
  <c r="F48" i="43" s="1"/>
  <c r="H48" i="43" s="1"/>
  <c r="C48" i="43"/>
  <c r="D47" i="43"/>
  <c r="C47" i="43"/>
  <c r="F47" i="43" s="1"/>
  <c r="H47" i="43" s="1"/>
  <c r="E46" i="43"/>
  <c r="G46" i="43" s="1"/>
  <c r="D46" i="43"/>
  <c r="F46" i="43" s="1"/>
  <c r="H46" i="43" s="1"/>
  <c r="C46" i="43"/>
  <c r="D45" i="43"/>
  <c r="C45" i="43"/>
  <c r="F45" i="43" s="1"/>
  <c r="H45" i="43" s="1"/>
  <c r="D43" i="43"/>
  <c r="C43" i="43"/>
  <c r="F43" i="43" s="1"/>
  <c r="H43" i="43" s="1"/>
  <c r="E42" i="43"/>
  <c r="G42" i="43" s="1"/>
  <c r="D42" i="43"/>
  <c r="F42" i="43" s="1"/>
  <c r="H42" i="43" s="1"/>
  <c r="C42" i="43"/>
  <c r="D41" i="43"/>
  <c r="C41" i="43"/>
  <c r="F41" i="43" s="1"/>
  <c r="H41" i="43" s="1"/>
  <c r="C40" i="43"/>
  <c r="D39" i="43"/>
  <c r="C39" i="43"/>
  <c r="F39" i="43" s="1"/>
  <c r="H39" i="43" s="1"/>
  <c r="C38" i="43"/>
  <c r="D37" i="43"/>
  <c r="C37" i="43"/>
  <c r="F37" i="43" s="1"/>
  <c r="H37" i="43" s="1"/>
  <c r="E36" i="43"/>
  <c r="G36" i="43" s="1"/>
  <c r="D36" i="43"/>
  <c r="F36" i="43" s="1"/>
  <c r="H36" i="43" s="1"/>
  <c r="C36" i="43"/>
  <c r="D35" i="43"/>
  <c r="C35" i="43"/>
  <c r="F35" i="43" s="1"/>
  <c r="H35" i="43" s="1"/>
  <c r="E34" i="43"/>
  <c r="G34" i="43" s="1"/>
  <c r="D34" i="43"/>
  <c r="F34" i="43" s="1"/>
  <c r="H34" i="43" s="1"/>
  <c r="C34" i="43"/>
  <c r="D33" i="43"/>
  <c r="C33" i="43"/>
  <c r="F33" i="43" s="1"/>
  <c r="H33" i="43" s="1"/>
  <c r="E32" i="43"/>
  <c r="G32" i="43" s="1"/>
  <c r="D32" i="43"/>
  <c r="F32" i="43" s="1"/>
  <c r="H32" i="43" s="1"/>
  <c r="C32" i="43"/>
  <c r="D31" i="43"/>
  <c r="C31" i="43"/>
  <c r="F31" i="43" s="1"/>
  <c r="H31" i="43" s="1"/>
  <c r="E30" i="43"/>
  <c r="G30" i="43" s="1"/>
  <c r="D30" i="43"/>
  <c r="F30" i="43" s="1"/>
  <c r="H30" i="43" s="1"/>
  <c r="C30" i="43"/>
  <c r="D29" i="43"/>
  <c r="C29" i="43"/>
  <c r="F29" i="43" s="1"/>
  <c r="H29" i="43" s="1"/>
  <c r="E28" i="43"/>
  <c r="G28" i="43" s="1"/>
  <c r="D28" i="43"/>
  <c r="F28" i="43" s="1"/>
  <c r="H28" i="43" s="1"/>
  <c r="C28" i="43"/>
  <c r="C27" i="43"/>
  <c r="E26" i="43"/>
  <c r="G26" i="43" s="1"/>
  <c r="D26" i="43"/>
  <c r="F26" i="43" s="1"/>
  <c r="H26" i="43" s="1"/>
  <c r="C26" i="43"/>
  <c r="D25" i="43"/>
  <c r="C25" i="43"/>
  <c r="F25" i="43" s="1"/>
  <c r="H25" i="43" s="1"/>
  <c r="E24" i="43"/>
  <c r="G24" i="43" s="1"/>
  <c r="D24" i="43"/>
  <c r="F24" i="43" s="1"/>
  <c r="H24" i="43" s="1"/>
  <c r="C24" i="43"/>
  <c r="D23" i="43"/>
  <c r="C23" i="43"/>
  <c r="F23" i="43" s="1"/>
  <c r="H23" i="43" s="1"/>
  <c r="E22" i="43"/>
  <c r="G22" i="43" s="1"/>
  <c r="D22" i="43"/>
  <c r="F22" i="43" s="1"/>
  <c r="H22" i="43" s="1"/>
  <c r="C22" i="43"/>
  <c r="D21" i="43"/>
  <c r="C21" i="43"/>
  <c r="E20" i="43"/>
  <c r="G20" i="43" s="1"/>
  <c r="D20" i="43"/>
  <c r="F20" i="43" s="1"/>
  <c r="H20" i="43" s="1"/>
  <c r="C20" i="43"/>
  <c r="D19" i="43"/>
  <c r="C19" i="43"/>
  <c r="E18" i="43"/>
  <c r="G18" i="43" s="1"/>
  <c r="D18" i="43"/>
  <c r="F18" i="43" s="1"/>
  <c r="H18" i="43" s="1"/>
  <c r="C18" i="43"/>
  <c r="B18" i="43"/>
  <c r="H17" i="43"/>
  <c r="D17" i="43"/>
  <c r="F17" i="43" s="1"/>
  <c r="C17" i="43"/>
  <c r="E17" i="43" s="1"/>
  <c r="G17" i="43" s="1"/>
  <c r="F16" i="43"/>
  <c r="H16" i="43" s="1"/>
  <c r="E16" i="43"/>
  <c r="G16" i="43" s="1"/>
  <c r="D16" i="43"/>
  <c r="C16" i="43"/>
  <c r="D15" i="43"/>
  <c r="F15" i="43" s="1"/>
  <c r="H15" i="43" s="1"/>
  <c r="C15" i="43"/>
  <c r="F14" i="43"/>
  <c r="H14" i="43" s="1"/>
  <c r="E14" i="43"/>
  <c r="G14" i="43" s="1"/>
  <c r="D14" i="43"/>
  <c r="C14" i="43"/>
  <c r="D13" i="43"/>
  <c r="F13" i="43" s="1"/>
  <c r="H13" i="43" s="1"/>
  <c r="C13" i="43"/>
  <c r="E13" i="43" s="1"/>
  <c r="G13" i="43" s="1"/>
  <c r="F12" i="43"/>
  <c r="H12" i="43" s="1"/>
  <c r="E12" i="43"/>
  <c r="G12" i="43" s="1"/>
  <c r="D12" i="43"/>
  <c r="C12" i="43"/>
  <c r="D11" i="43"/>
  <c r="F11" i="43" s="1"/>
  <c r="H11" i="43" s="1"/>
  <c r="C11" i="43"/>
  <c r="E11" i="43" s="1"/>
  <c r="G11" i="43" s="1"/>
  <c r="F10" i="43"/>
  <c r="H10" i="43" s="1"/>
  <c r="E10" i="43"/>
  <c r="G10" i="43" s="1"/>
  <c r="D10" i="43"/>
  <c r="C10" i="43"/>
  <c r="A10" i="43"/>
  <c r="D9" i="43"/>
  <c r="F9" i="43" s="1"/>
  <c r="H9" i="43" s="1"/>
  <c r="C9" i="43"/>
  <c r="D8" i="43"/>
  <c r="C8" i="43"/>
  <c r="E8" i="43" s="1"/>
  <c r="G8" i="43" s="1"/>
  <c r="D7" i="43"/>
  <c r="F7" i="43" s="1"/>
  <c r="H7" i="43" s="1"/>
  <c r="C7" i="43"/>
  <c r="D6" i="43"/>
  <c r="C6" i="43"/>
  <c r="E6" i="43" s="1"/>
  <c r="G6" i="43" s="1"/>
  <c r="D5" i="43"/>
  <c r="C5" i="43"/>
  <c r="B63" i="41"/>
  <c r="B61" i="41"/>
  <c r="G81" i="41"/>
  <c r="G82" i="41" s="1"/>
  <c r="E66" i="41"/>
  <c r="F15" i="41"/>
  <c r="E15" i="41"/>
  <c r="G13" i="41"/>
  <c r="G12" i="41" s="1"/>
  <c r="F12" i="41"/>
  <c r="E12" i="41"/>
  <c r="D12" i="41"/>
  <c r="G11" i="41"/>
  <c r="G10" i="41"/>
  <c r="G8" i="41"/>
  <c r="G7" i="41"/>
  <c r="F5" i="41"/>
  <c r="F29" i="41" s="1"/>
  <c r="R5" i="40"/>
  <c r="R6" i="40"/>
  <c r="I7" i="40"/>
  <c r="I21" i="40" s="1"/>
  <c r="J7" i="40"/>
  <c r="J21" i="40" s="1"/>
  <c r="K7" i="40"/>
  <c r="K21" i="40" s="1"/>
  <c r="L7" i="40"/>
  <c r="M7" i="40"/>
  <c r="M21" i="40" s="1"/>
  <c r="N7" i="40"/>
  <c r="N21" i="40" s="1"/>
  <c r="O7" i="40"/>
  <c r="O21" i="40" s="1"/>
  <c r="P7" i="40"/>
  <c r="H7" i="40"/>
  <c r="G21" i="40"/>
  <c r="L21" i="40"/>
  <c r="P21" i="40"/>
  <c r="F21" i="40"/>
  <c r="G20" i="40"/>
  <c r="I20" i="40"/>
  <c r="J20" i="40"/>
  <c r="K20" i="40"/>
  <c r="L20" i="40"/>
  <c r="M20" i="40"/>
  <c r="N20" i="40"/>
  <c r="O20" i="40"/>
  <c r="P20" i="40"/>
  <c r="F20" i="40"/>
  <c r="K4" i="40"/>
  <c r="H4" i="40"/>
  <c r="F4" i="40"/>
  <c r="I37" i="41" l="1"/>
  <c r="G18" i="42"/>
  <c r="G36" i="41"/>
  <c r="G35" i="41"/>
  <c r="J27" i="46"/>
  <c r="J46" i="46" s="1"/>
  <c r="H34" i="46"/>
  <c r="E34" i="46"/>
  <c r="AD46" i="46"/>
  <c r="AJ28" i="46"/>
  <c r="AG46" i="46"/>
  <c r="I17" i="46"/>
  <c r="H17" i="46" s="1"/>
  <c r="AC27" i="46"/>
  <c r="G5" i="41"/>
  <c r="N22" i="6"/>
  <c r="O22" i="6"/>
  <c r="G16" i="41"/>
  <c r="G15" i="41"/>
  <c r="F5" i="43"/>
  <c r="E5" i="43"/>
  <c r="F6" i="43"/>
  <c r="H6" i="43" s="1"/>
  <c r="E7" i="43"/>
  <c r="G7" i="43" s="1"/>
  <c r="F8" i="43"/>
  <c r="H8" i="43" s="1"/>
  <c r="E9" i="43"/>
  <c r="G9" i="43" s="1"/>
  <c r="I58" i="43"/>
  <c r="E15" i="43"/>
  <c r="G15" i="43" s="1"/>
  <c r="F21" i="43"/>
  <c r="H21" i="43" s="1"/>
  <c r="E21" i="43"/>
  <c r="G21" i="43" s="1"/>
  <c r="J71" i="43"/>
  <c r="F19" i="43"/>
  <c r="H19" i="43" s="1"/>
  <c r="E19" i="43"/>
  <c r="G19" i="43" s="1"/>
  <c r="I53" i="43"/>
  <c r="E54" i="43"/>
  <c r="I54" i="43" s="1"/>
  <c r="E59" i="43"/>
  <c r="I59" i="43" s="1"/>
  <c r="E67" i="43"/>
  <c r="I67" i="43" s="1"/>
  <c r="E71" i="43"/>
  <c r="I71" i="43" s="1"/>
  <c r="E76" i="43"/>
  <c r="I76" i="43" s="1"/>
  <c r="E80" i="43"/>
  <c r="I80" i="43" s="1"/>
  <c r="E23" i="43"/>
  <c r="G23" i="43" s="1"/>
  <c r="E25" i="43"/>
  <c r="G25" i="43" s="1"/>
  <c r="E29" i="43"/>
  <c r="G29" i="43" s="1"/>
  <c r="E31" i="43"/>
  <c r="G31" i="43" s="1"/>
  <c r="E33" i="43"/>
  <c r="G33" i="43" s="1"/>
  <c r="E35" i="43"/>
  <c r="G35" i="43" s="1"/>
  <c r="E37" i="43"/>
  <c r="G37" i="43" s="1"/>
  <c r="E39" i="43"/>
  <c r="G39" i="43" s="1"/>
  <c r="E41" i="43"/>
  <c r="G41" i="43" s="1"/>
  <c r="E43" i="43"/>
  <c r="G43" i="43" s="1"/>
  <c r="E45" i="43"/>
  <c r="G45" i="43" s="1"/>
  <c r="E47" i="43"/>
  <c r="G47" i="43" s="1"/>
  <c r="E49" i="43"/>
  <c r="G49" i="43" s="1"/>
  <c r="I75" i="43"/>
  <c r="G68" i="41"/>
  <c r="D5" i="41"/>
  <c r="D29" i="41" s="1"/>
  <c r="R19" i="40"/>
  <c r="R18" i="40"/>
  <c r="Q17" i="40"/>
  <c r="R17" i="40"/>
  <c r="R16" i="40"/>
  <c r="R13" i="40"/>
  <c r="R11" i="40"/>
  <c r="G7" i="40"/>
  <c r="F7" i="40"/>
  <c r="P6" i="40"/>
  <c r="P5" i="40"/>
  <c r="P4" i="40"/>
  <c r="B24" i="31"/>
  <c r="B23" i="31"/>
  <c r="D47" i="26"/>
  <c r="C6" i="26"/>
  <c r="D6" i="26"/>
  <c r="C38" i="26"/>
  <c r="B44" i="6"/>
  <c r="H15" i="40" s="1"/>
  <c r="H20" i="40" s="1"/>
  <c r="H21" i="40" s="1"/>
  <c r="C43" i="6"/>
  <c r="C228" i="8"/>
  <c r="E228" i="8"/>
  <c r="B224" i="8"/>
  <c r="E225" i="8"/>
  <c r="C10" i="26"/>
  <c r="D242" i="8"/>
  <c r="D241" i="8" s="1"/>
  <c r="C65" i="26" s="1"/>
  <c r="B242" i="8"/>
  <c r="B241" i="8"/>
  <c r="E236" i="8"/>
  <c r="D236" i="8"/>
  <c r="C211" i="8"/>
  <c r="B41" i="6"/>
  <c r="E222" i="8"/>
  <c r="D217" i="8"/>
  <c r="D213" i="8"/>
  <c r="E214" i="8" s="1"/>
  <c r="C42" i="6" s="1"/>
  <c r="E211" i="8"/>
  <c r="D222" i="8"/>
  <c r="G29" i="41" l="1"/>
  <c r="AC46" i="46"/>
  <c r="AJ27" i="46"/>
  <c r="R15" i="40"/>
  <c r="O23" i="6"/>
  <c r="J80" i="43"/>
  <c r="J76" i="43"/>
  <c r="G5" i="43"/>
  <c r="J54" i="43"/>
  <c r="J67" i="43"/>
  <c r="H5" i="43"/>
  <c r="J59" i="43"/>
  <c r="E65" i="26"/>
  <c r="F65" i="26"/>
  <c r="J65" i="26" s="1"/>
  <c r="D17" i="26"/>
  <c r="D39" i="26"/>
  <c r="D76" i="26"/>
  <c r="D77" i="26"/>
  <c r="D79" i="26"/>
  <c r="C59" i="26"/>
  <c r="C71" i="26"/>
  <c r="C57" i="26"/>
  <c r="C58" i="26"/>
  <c r="C23" i="26"/>
  <c r="C68" i="26"/>
  <c r="C67" i="26"/>
  <c r="C52" i="26"/>
  <c r="C25" i="26"/>
  <c r="B18" i="26"/>
  <c r="I65" i="26" l="1"/>
  <c r="F60" i="27"/>
  <c r="E203" i="8"/>
  <c r="E204" i="8"/>
  <c r="D42" i="26" s="1"/>
  <c r="E205" i="8"/>
  <c r="D30" i="26" s="1"/>
  <c r="E202" i="8"/>
  <c r="E201" i="8"/>
  <c r="C206" i="8"/>
  <c r="D196" i="8"/>
  <c r="D197" i="8"/>
  <c r="D198" i="8"/>
  <c r="D199" i="8"/>
  <c r="C18" i="26" s="1"/>
  <c r="D195" i="8"/>
  <c r="F8" i="37"/>
  <c r="H8" i="37" s="1"/>
  <c r="E7" i="37"/>
  <c r="G7" i="37" s="1"/>
  <c r="AI43" i="39"/>
  <c r="V42" i="39"/>
  <c r="E41" i="39"/>
  <c r="V41" i="39" s="1"/>
  <c r="E39" i="39"/>
  <c r="AG31" i="39"/>
  <c r="AF31" i="39"/>
  <c r="AE31" i="39"/>
  <c r="AD31" i="39"/>
  <c r="AC31" i="39"/>
  <c r="AB31" i="39"/>
  <c r="AA31" i="39"/>
  <c r="Z31" i="39"/>
  <c r="Y31" i="39"/>
  <c r="X31" i="39"/>
  <c r="W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D31" i="39"/>
  <c r="I29" i="39"/>
  <c r="AF27" i="39"/>
  <c r="AF43" i="39" s="1"/>
  <c r="AE27" i="39"/>
  <c r="AE43" i="39" s="1"/>
  <c r="AB27" i="39"/>
  <c r="AB43" i="39" s="1"/>
  <c r="AA27" i="39"/>
  <c r="AA43" i="39" s="1"/>
  <c r="X27" i="39"/>
  <c r="X43" i="39" s="1"/>
  <c r="W27" i="39"/>
  <c r="W43" i="39" s="1"/>
  <c r="T27" i="39"/>
  <c r="T43" i="39" s="1"/>
  <c r="S27" i="39"/>
  <c r="S43" i="39" s="1"/>
  <c r="P27" i="39"/>
  <c r="P43" i="39" s="1"/>
  <c r="O27" i="39"/>
  <c r="O43" i="39" s="1"/>
  <c r="L27" i="39"/>
  <c r="L43" i="39" s="1"/>
  <c r="K27" i="39"/>
  <c r="K43" i="39" s="1"/>
  <c r="V23" i="39"/>
  <c r="H22" i="39"/>
  <c r="H21" i="39"/>
  <c r="E21" i="39"/>
  <c r="I20" i="39"/>
  <c r="H20" i="39" s="1"/>
  <c r="AG16" i="39"/>
  <c r="AG27" i="39" s="1"/>
  <c r="AG43" i="39" s="1"/>
  <c r="AF16" i="39"/>
  <c r="AE16" i="39"/>
  <c r="AD16" i="39"/>
  <c r="AD27" i="39" s="1"/>
  <c r="AC16" i="39"/>
  <c r="AC27" i="39" s="1"/>
  <c r="AB16" i="39"/>
  <c r="AA16" i="39"/>
  <c r="Z16" i="39"/>
  <c r="Z27" i="39" s="1"/>
  <c r="Z43" i="39" s="1"/>
  <c r="Y16" i="39"/>
  <c r="Y27" i="39" s="1"/>
  <c r="Y43" i="39" s="1"/>
  <c r="X16" i="39"/>
  <c r="W16" i="39"/>
  <c r="V16" i="39"/>
  <c r="U16" i="39"/>
  <c r="U27" i="39" s="1"/>
  <c r="U43" i="39" s="1"/>
  <c r="T16" i="39"/>
  <c r="S16" i="39"/>
  <c r="R16" i="39"/>
  <c r="R27" i="39" s="1"/>
  <c r="R43" i="39" s="1"/>
  <c r="Q16" i="39"/>
  <c r="Q27" i="39" s="1"/>
  <c r="Q43" i="39" s="1"/>
  <c r="P16" i="39"/>
  <c r="O16" i="39"/>
  <c r="N16" i="39"/>
  <c r="N27" i="39" s="1"/>
  <c r="N43" i="39" s="1"/>
  <c r="M16" i="39"/>
  <c r="M27" i="39" s="1"/>
  <c r="M43" i="39" s="1"/>
  <c r="L16" i="39"/>
  <c r="K16" i="39"/>
  <c r="J16" i="39"/>
  <c r="J18" i="39" s="1"/>
  <c r="H18" i="39" s="1"/>
  <c r="I16" i="39"/>
  <c r="H14" i="39"/>
  <c r="H16" i="39" s="1"/>
  <c r="AC12" i="39"/>
  <c r="D95" i="38"/>
  <c r="D94" i="38"/>
  <c r="D93" i="38"/>
  <c r="D96" i="38" s="1"/>
  <c r="D97" i="38" s="1"/>
  <c r="F62" i="38"/>
  <c r="E62" i="38"/>
  <c r="G55" i="38"/>
  <c r="G54" i="38"/>
  <c r="G53" i="38"/>
  <c r="G52" i="38"/>
  <c r="G48" i="38"/>
  <c r="G47" i="38"/>
  <c r="G46" i="38"/>
  <c r="G45" i="38"/>
  <c r="G77" i="38" s="1"/>
  <c r="G78" i="38" s="1"/>
  <c r="G44" i="38"/>
  <c r="G43" i="38"/>
  <c r="G42" i="38"/>
  <c r="G41" i="38"/>
  <c r="G40" i="38"/>
  <c r="G39" i="38"/>
  <c r="G38" i="38"/>
  <c r="G37" i="38"/>
  <c r="G36" i="38"/>
  <c r="G35" i="38"/>
  <c r="G34" i="38"/>
  <c r="G32" i="38"/>
  <c r="G31" i="38"/>
  <c r="G30" i="38"/>
  <c r="F29" i="38"/>
  <c r="G28" i="38"/>
  <c r="G27" i="38"/>
  <c r="G26" i="38"/>
  <c r="G25" i="38"/>
  <c r="G24" i="38"/>
  <c r="G23" i="38"/>
  <c r="G22" i="38"/>
  <c r="G21" i="38"/>
  <c r="G20" i="38"/>
  <c r="G19" i="38"/>
  <c r="G17" i="38"/>
  <c r="G16" i="38"/>
  <c r="G15" i="38"/>
  <c r="F15" i="38"/>
  <c r="E15" i="38"/>
  <c r="D15" i="38"/>
  <c r="G14" i="38"/>
  <c r="G12" i="38" s="1"/>
  <c r="G13" i="38"/>
  <c r="F12" i="38"/>
  <c r="E12" i="38"/>
  <c r="D12" i="38"/>
  <c r="G11" i="38"/>
  <c r="G10" i="38"/>
  <c r="G9" i="38"/>
  <c r="G8" i="38"/>
  <c r="G7" i="38"/>
  <c r="G6" i="38"/>
  <c r="G5" i="38" s="1"/>
  <c r="E5" i="38"/>
  <c r="E29" i="38" s="1"/>
  <c r="E22" i="37"/>
  <c r="F22" i="37"/>
  <c r="E23" i="37"/>
  <c r="F23" i="37"/>
  <c r="J23" i="37" s="1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F21" i="37"/>
  <c r="E21" i="37"/>
  <c r="F7" i="37"/>
  <c r="H7" i="37" s="1"/>
  <c r="E10" i="37"/>
  <c r="G10" i="37" s="1"/>
  <c r="F10" i="37"/>
  <c r="H10" i="37" s="1"/>
  <c r="E11" i="37"/>
  <c r="G11" i="37" s="1"/>
  <c r="F11" i="37"/>
  <c r="H11" i="37" s="1"/>
  <c r="C14" i="25" s="1"/>
  <c r="E12" i="37"/>
  <c r="G12" i="37" s="1"/>
  <c r="F12" i="37"/>
  <c r="H12" i="37" s="1"/>
  <c r="E13" i="37"/>
  <c r="G13" i="37" s="1"/>
  <c r="F13" i="37"/>
  <c r="H13" i="37" s="1"/>
  <c r="E14" i="37"/>
  <c r="G14" i="37" s="1"/>
  <c r="F14" i="37"/>
  <c r="H14" i="37" s="1"/>
  <c r="E15" i="37"/>
  <c r="G15" i="37" s="1"/>
  <c r="F15" i="37"/>
  <c r="H15" i="37" s="1"/>
  <c r="C15" i="25" s="1"/>
  <c r="E16" i="37"/>
  <c r="G16" i="37" s="1"/>
  <c r="F16" i="37"/>
  <c r="H16" i="37" s="1"/>
  <c r="E17" i="37"/>
  <c r="G17" i="37" s="1"/>
  <c r="F17" i="37"/>
  <c r="H17" i="37" s="1"/>
  <c r="E18" i="37"/>
  <c r="G18" i="37" s="1"/>
  <c r="F18" i="37"/>
  <c r="H18" i="37" s="1"/>
  <c r="E19" i="37"/>
  <c r="G19" i="37" s="1"/>
  <c r="F19" i="37"/>
  <c r="H19" i="37" s="1"/>
  <c r="E20" i="37"/>
  <c r="G20" i="37" s="1"/>
  <c r="F20" i="37"/>
  <c r="H20" i="37" s="1"/>
  <c r="D38" i="37"/>
  <c r="C24" i="26" l="1"/>
  <c r="D62" i="38"/>
  <c r="G64" i="38"/>
  <c r="G33" i="38"/>
  <c r="G62" i="38" s="1"/>
  <c r="V27" i="39"/>
  <c r="J36" i="37"/>
  <c r="C38" i="37"/>
  <c r="C40" i="37" s="1"/>
  <c r="E8" i="37"/>
  <c r="G8" i="37" s="1"/>
  <c r="I34" i="37"/>
  <c r="I26" i="37"/>
  <c r="I24" i="37"/>
  <c r="I33" i="37"/>
  <c r="I31" i="37"/>
  <c r="I29" i="37"/>
  <c r="J37" i="37"/>
  <c r="I32" i="37"/>
  <c r="I30" i="37"/>
  <c r="I28" i="37"/>
  <c r="J22" i="37"/>
  <c r="J31" i="37"/>
  <c r="J27" i="37"/>
  <c r="I25" i="37"/>
  <c r="I23" i="37"/>
  <c r="F6" i="37"/>
  <c r="H6" i="37" s="1"/>
  <c r="I21" i="37"/>
  <c r="J33" i="37"/>
  <c r="J30" i="37"/>
  <c r="J25" i="37"/>
  <c r="I22" i="37"/>
  <c r="I37" i="37"/>
  <c r="I36" i="37"/>
  <c r="J34" i="37"/>
  <c r="J29" i="37"/>
  <c r="I27" i="37"/>
  <c r="J26" i="37"/>
  <c r="E9" i="37"/>
  <c r="G9" i="37" s="1"/>
  <c r="C13" i="25" s="1"/>
  <c r="F9" i="37"/>
  <c r="H9" i="37" s="1"/>
  <c r="AD43" i="39"/>
  <c r="AJ28" i="39"/>
  <c r="H29" i="39"/>
  <c r="H31" i="39" s="1"/>
  <c r="V31" i="39"/>
  <c r="V43" i="39" s="1"/>
  <c r="I31" i="39"/>
  <c r="AC43" i="39"/>
  <c r="AJ27" i="39"/>
  <c r="J27" i="39"/>
  <c r="J43" i="39" s="1"/>
  <c r="I17" i="39"/>
  <c r="H17" i="39" s="1"/>
  <c r="G29" i="38"/>
  <c r="D5" i="38"/>
  <c r="D29" i="38" s="1"/>
  <c r="J21" i="37"/>
  <c r="E6" i="37"/>
  <c r="G6" i="37" s="1"/>
  <c r="I35" i="37"/>
  <c r="J32" i="37"/>
  <c r="J28" i="37"/>
  <c r="J24" i="37"/>
  <c r="J35" i="37"/>
  <c r="D40" i="37"/>
  <c r="D63" i="38" l="1"/>
  <c r="D86" i="38"/>
  <c r="D87" i="38" s="1"/>
  <c r="G67" i="38" s="1"/>
  <c r="G69" i="38" s="1"/>
  <c r="D41" i="37"/>
  <c r="H38" i="37"/>
  <c r="I38" i="37"/>
  <c r="G38" i="37"/>
  <c r="F38" i="37"/>
  <c r="F40" i="37" s="1"/>
  <c r="E38" i="37"/>
  <c r="E40" i="37" s="1"/>
  <c r="I27" i="39"/>
  <c r="J38" i="37"/>
  <c r="J40" i="37" s="1"/>
  <c r="G40" i="37" l="1"/>
  <c r="C11" i="25"/>
  <c r="H39" i="37"/>
  <c r="H40" i="37" s="1"/>
  <c r="I39" i="37"/>
  <c r="I40" i="37" s="1"/>
  <c r="I43" i="39"/>
  <c r="H27" i="39"/>
  <c r="H43" i="39" s="1"/>
  <c r="L10" i="36" l="1"/>
  <c r="L7" i="36"/>
  <c r="L16" i="35"/>
  <c r="L6" i="35"/>
  <c r="L5" i="36"/>
  <c r="L21" i="35"/>
  <c r="L20" i="35"/>
  <c r="L24" i="35" s="1"/>
  <c r="AI113" i="34"/>
  <c r="V111" i="34"/>
  <c r="E109" i="34"/>
  <c r="AG101" i="34"/>
  <c r="AF101" i="34"/>
  <c r="AE101" i="34"/>
  <c r="AD101" i="34"/>
  <c r="AC101" i="34"/>
  <c r="AB101" i="34"/>
  <c r="AA101" i="34"/>
  <c r="Z101" i="34"/>
  <c r="Y101" i="34"/>
  <c r="X101" i="34"/>
  <c r="W101" i="34"/>
  <c r="U101" i="34"/>
  <c r="T101" i="34"/>
  <c r="S101" i="34"/>
  <c r="R101" i="34"/>
  <c r="Q101" i="34"/>
  <c r="P101" i="34"/>
  <c r="O101" i="34"/>
  <c r="N101" i="34"/>
  <c r="M101" i="34"/>
  <c r="L101" i="34"/>
  <c r="J101" i="34"/>
  <c r="H100" i="34"/>
  <c r="E100" i="34"/>
  <c r="H99" i="34"/>
  <c r="E99" i="34"/>
  <c r="H98" i="34"/>
  <c r="E98" i="34"/>
  <c r="H97" i="34"/>
  <c r="E97" i="34"/>
  <c r="G101" i="34"/>
  <c r="F101" i="34"/>
  <c r="Z27" i="34"/>
  <c r="Z113" i="34" s="1"/>
  <c r="Y27" i="34"/>
  <c r="Y113" i="34" s="1"/>
  <c r="U27" i="34"/>
  <c r="T27" i="34"/>
  <c r="T113" i="34" s="1"/>
  <c r="Q27" i="34"/>
  <c r="Q113" i="34" s="1"/>
  <c r="N27" i="34"/>
  <c r="M27" i="34"/>
  <c r="J27" i="34"/>
  <c r="J113" i="34" s="1"/>
  <c r="H22" i="34"/>
  <c r="H21" i="34"/>
  <c r="E21" i="34"/>
  <c r="I20" i="34"/>
  <c r="H20" i="34" s="1"/>
  <c r="AF16" i="34"/>
  <c r="AF27" i="34" s="1"/>
  <c r="AF113" i="34" s="1"/>
  <c r="AE16" i="34"/>
  <c r="AE27" i="34" s="1"/>
  <c r="AE113" i="34" s="1"/>
  <c r="AD16" i="34"/>
  <c r="AD27" i="34" s="1"/>
  <c r="AB16" i="34"/>
  <c r="AB27" i="34" s="1"/>
  <c r="AB113" i="34" s="1"/>
  <c r="AA16" i="34"/>
  <c r="AA27" i="34" s="1"/>
  <c r="AA113" i="34" s="1"/>
  <c r="Z16" i="34"/>
  <c r="Y16" i="34"/>
  <c r="X16" i="34"/>
  <c r="X27" i="34" s="1"/>
  <c r="X113" i="34" s="1"/>
  <c r="W16" i="34"/>
  <c r="W27" i="34" s="1"/>
  <c r="W113" i="34" s="1"/>
  <c r="U16" i="34"/>
  <c r="T16" i="34"/>
  <c r="S16" i="34"/>
  <c r="S27" i="34" s="1"/>
  <c r="S113" i="34" s="1"/>
  <c r="Q16" i="34"/>
  <c r="P16" i="34"/>
  <c r="P27" i="34" s="1"/>
  <c r="P113" i="34" s="1"/>
  <c r="O16" i="34"/>
  <c r="O27" i="34" s="1"/>
  <c r="O113" i="34" s="1"/>
  <c r="N16" i="34"/>
  <c r="M16" i="34"/>
  <c r="L16" i="34"/>
  <c r="L27" i="34" s="1"/>
  <c r="L113" i="34" s="1"/>
  <c r="K16" i="34"/>
  <c r="K27" i="34" s="1"/>
  <c r="J16" i="34"/>
  <c r="J18" i="34" s="1"/>
  <c r="H18" i="34" s="1"/>
  <c r="AG16" i="34"/>
  <c r="AG27" i="34" s="1"/>
  <c r="AC16" i="34"/>
  <c r="AC27" i="34" s="1"/>
  <c r="V16" i="34"/>
  <c r="V27" i="34" s="1"/>
  <c r="R16" i="34"/>
  <c r="R27" i="34" s="1"/>
  <c r="R113" i="34" s="1"/>
  <c r="I16" i="34"/>
  <c r="I17" i="34" s="1"/>
  <c r="H17" i="34" s="1"/>
  <c r="C13" i="26"/>
  <c r="C12" i="26"/>
  <c r="C7" i="26"/>
  <c r="D7" i="26"/>
  <c r="C8" i="26"/>
  <c r="C16" i="26"/>
  <c r="D16" i="26"/>
  <c r="C17" i="26"/>
  <c r="D18" i="26"/>
  <c r="C19" i="26"/>
  <c r="D19" i="26"/>
  <c r="C20" i="26"/>
  <c r="D20" i="26"/>
  <c r="C21" i="26"/>
  <c r="D21" i="26"/>
  <c r="C22" i="26"/>
  <c r="D22" i="26"/>
  <c r="C34" i="26"/>
  <c r="D34" i="26"/>
  <c r="D37" i="26"/>
  <c r="C40" i="26"/>
  <c r="D40" i="26"/>
  <c r="C45" i="26"/>
  <c r="D45" i="26"/>
  <c r="C46" i="26"/>
  <c r="D46" i="26"/>
  <c r="C47" i="26"/>
  <c r="C48" i="26"/>
  <c r="D48" i="26"/>
  <c r="C49" i="26"/>
  <c r="S10" i="6"/>
  <c r="R10" i="6"/>
  <c r="S11" i="6" s="1"/>
  <c r="O10" i="6"/>
  <c r="N10" i="6"/>
  <c r="O11" i="6" s="1"/>
  <c r="D74" i="33"/>
  <c r="C74" i="33"/>
  <c r="E74" i="33" s="1"/>
  <c r="D73" i="33"/>
  <c r="C73" i="33"/>
  <c r="D72" i="33"/>
  <c r="C72" i="33"/>
  <c r="E72" i="33" s="1"/>
  <c r="D71" i="33"/>
  <c r="C71" i="33"/>
  <c r="D70" i="33"/>
  <c r="C70" i="33"/>
  <c r="E70" i="33" s="1"/>
  <c r="D69" i="33"/>
  <c r="D68" i="33"/>
  <c r="C68" i="33"/>
  <c r="E68" i="33" s="1"/>
  <c r="D67" i="33"/>
  <c r="C67" i="33"/>
  <c r="D66" i="33"/>
  <c r="C66" i="33"/>
  <c r="D65" i="33"/>
  <c r="C65" i="33"/>
  <c r="D64" i="33"/>
  <c r="C64" i="33"/>
  <c r="D63" i="33"/>
  <c r="C63" i="33"/>
  <c r="D62" i="33"/>
  <c r="C62" i="33"/>
  <c r="D61" i="33"/>
  <c r="C61" i="33"/>
  <c r="D60" i="33"/>
  <c r="D59" i="33"/>
  <c r="C59" i="33"/>
  <c r="D58" i="33"/>
  <c r="C58" i="33"/>
  <c r="D57" i="33"/>
  <c r="C57" i="33"/>
  <c r="D56" i="33"/>
  <c r="C56" i="33"/>
  <c r="C55" i="33"/>
  <c r="E55" i="33" s="1"/>
  <c r="D54" i="33"/>
  <c r="C54" i="33"/>
  <c r="D53" i="33"/>
  <c r="C53" i="33"/>
  <c r="D52" i="33"/>
  <c r="C52" i="33"/>
  <c r="D49" i="33"/>
  <c r="C49" i="33"/>
  <c r="D48" i="33"/>
  <c r="C48" i="33"/>
  <c r="D47" i="33"/>
  <c r="C47" i="33"/>
  <c r="D46" i="33"/>
  <c r="C46" i="33"/>
  <c r="D45" i="33"/>
  <c r="C45" i="33"/>
  <c r="C44" i="33"/>
  <c r="D43" i="33"/>
  <c r="C43" i="33"/>
  <c r="D42" i="33"/>
  <c r="C42" i="33"/>
  <c r="D41" i="33"/>
  <c r="C41" i="33"/>
  <c r="D40" i="33"/>
  <c r="C40" i="33"/>
  <c r="D39" i="33"/>
  <c r="C39" i="33"/>
  <c r="D37" i="33"/>
  <c r="C37" i="33"/>
  <c r="D36" i="33"/>
  <c r="C36" i="33"/>
  <c r="D35" i="33"/>
  <c r="C35" i="33"/>
  <c r="D34" i="33"/>
  <c r="C34" i="33"/>
  <c r="D33" i="33"/>
  <c r="C33" i="33"/>
  <c r="D32" i="33"/>
  <c r="C32" i="33"/>
  <c r="D31" i="33"/>
  <c r="C31" i="33"/>
  <c r="D30" i="33"/>
  <c r="C30" i="33"/>
  <c r="D29" i="33"/>
  <c r="C29" i="33"/>
  <c r="D28" i="33"/>
  <c r="C28" i="33"/>
  <c r="E28" i="33" s="1"/>
  <c r="G28" i="33" s="1"/>
  <c r="C28" i="26" s="1"/>
  <c r="C27" i="33"/>
  <c r="D26" i="33"/>
  <c r="C26" i="33"/>
  <c r="E26" i="33" s="1"/>
  <c r="G26" i="33" s="1"/>
  <c r="C26" i="26" s="1"/>
  <c r="D25" i="33"/>
  <c r="C25" i="33"/>
  <c r="D24" i="33"/>
  <c r="C24" i="33"/>
  <c r="E24" i="33" s="1"/>
  <c r="G24" i="33" s="1"/>
  <c r="D23" i="33"/>
  <c r="C23" i="33"/>
  <c r="D22" i="33"/>
  <c r="C22" i="33"/>
  <c r="D21" i="33"/>
  <c r="C21" i="33"/>
  <c r="D20" i="33"/>
  <c r="C20" i="33"/>
  <c r="E20" i="33" s="1"/>
  <c r="G20" i="33" s="1"/>
  <c r="D19" i="33"/>
  <c r="C19" i="33"/>
  <c r="D17" i="33"/>
  <c r="C17" i="33"/>
  <c r="E17" i="33" s="1"/>
  <c r="G17" i="33" s="1"/>
  <c r="D16" i="33"/>
  <c r="C16" i="33"/>
  <c r="D15" i="33"/>
  <c r="C15" i="33"/>
  <c r="E15" i="33" s="1"/>
  <c r="G15" i="33" s="1"/>
  <c r="D14" i="33"/>
  <c r="C14" i="33"/>
  <c r="D12" i="33"/>
  <c r="C12" i="33"/>
  <c r="D11" i="33"/>
  <c r="C11" i="33"/>
  <c r="D10" i="33"/>
  <c r="C10" i="33"/>
  <c r="A10" i="33"/>
  <c r="D9" i="33"/>
  <c r="C9" i="33"/>
  <c r="D8" i="33"/>
  <c r="C8" i="33"/>
  <c r="D6" i="33"/>
  <c r="C6" i="33"/>
  <c r="D5" i="33"/>
  <c r="C5" i="33"/>
  <c r="H22" i="23"/>
  <c r="D36" i="23"/>
  <c r="G33" i="23"/>
  <c r="G28" i="23"/>
  <c r="G27" i="23"/>
  <c r="G26" i="23"/>
  <c r="G7" i="23"/>
  <c r="G8" i="23"/>
  <c r="G9" i="23"/>
  <c r="G17" i="23"/>
  <c r="G35" i="23" s="1"/>
  <c r="G15" i="23"/>
  <c r="D18" i="23"/>
  <c r="G13" i="23"/>
  <c r="G33" i="32"/>
  <c r="E33" i="32"/>
  <c r="F37" i="32"/>
  <c r="G37" i="32" s="1"/>
  <c r="F33" i="32"/>
  <c r="D36" i="32"/>
  <c r="D50" i="32"/>
  <c r="E36" i="32"/>
  <c r="E35" i="32"/>
  <c r="E6" i="32"/>
  <c r="D59" i="32"/>
  <c r="D58" i="32"/>
  <c r="D57" i="32"/>
  <c r="D48" i="32"/>
  <c r="D35" i="32"/>
  <c r="D19" i="32"/>
  <c r="D10" i="32"/>
  <c r="D6" i="32"/>
  <c r="B59" i="32"/>
  <c r="B58" i="32"/>
  <c r="G50" i="32"/>
  <c r="G49" i="32"/>
  <c r="G48" i="32"/>
  <c r="G64" i="32" s="1"/>
  <c r="V112" i="34" s="1"/>
  <c r="G45" i="32"/>
  <c r="G77" i="32" s="1"/>
  <c r="G78" i="32" s="1"/>
  <c r="G38" i="32"/>
  <c r="G36" i="32"/>
  <c r="F62" i="32"/>
  <c r="G31" i="32"/>
  <c r="G30" i="32"/>
  <c r="G19" i="32"/>
  <c r="G17" i="32"/>
  <c r="F15" i="32"/>
  <c r="E15" i="32"/>
  <c r="G13" i="32"/>
  <c r="G12" i="32" s="1"/>
  <c r="F12" i="32"/>
  <c r="E12" i="32"/>
  <c r="G11" i="32"/>
  <c r="G10" i="32"/>
  <c r="G8" i="32"/>
  <c r="G7" i="32"/>
  <c r="D5" i="32"/>
  <c r="E5" i="32"/>
  <c r="E29" i="32" s="1"/>
  <c r="F5" i="32"/>
  <c r="F7" i="26" l="1"/>
  <c r="H7" i="26" s="1"/>
  <c r="E7" i="26"/>
  <c r="G7" i="26" s="1"/>
  <c r="M113" i="34"/>
  <c r="N113" i="34"/>
  <c r="U113" i="34"/>
  <c r="AC113" i="34"/>
  <c r="AJ27" i="34"/>
  <c r="AG113" i="34"/>
  <c r="AJ30" i="34"/>
  <c r="AD113" i="34"/>
  <c r="AJ28" i="34"/>
  <c r="AC12" i="34"/>
  <c r="H14" i="34"/>
  <c r="H16" i="34" s="1"/>
  <c r="K101" i="34"/>
  <c r="K113" i="34" s="1"/>
  <c r="I27" i="34"/>
  <c r="E101" i="34"/>
  <c r="F30" i="33"/>
  <c r="H30" i="33" s="1"/>
  <c r="E57" i="33"/>
  <c r="E65" i="33"/>
  <c r="E73" i="33"/>
  <c r="E6" i="33"/>
  <c r="G6" i="33" s="1"/>
  <c r="F9" i="33"/>
  <c r="H9" i="33" s="1"/>
  <c r="F32" i="33"/>
  <c r="H32" i="33" s="1"/>
  <c r="F34" i="33"/>
  <c r="H34" i="33" s="1"/>
  <c r="F36" i="33"/>
  <c r="H36" i="33" s="1"/>
  <c r="F39" i="33"/>
  <c r="H39" i="33" s="1"/>
  <c r="E64" i="33"/>
  <c r="E56" i="33"/>
  <c r="E62" i="33"/>
  <c r="F64" i="33"/>
  <c r="J64" i="33" s="1"/>
  <c r="F42" i="33"/>
  <c r="H42" i="33" s="1"/>
  <c r="F46" i="33"/>
  <c r="H46" i="33" s="1"/>
  <c r="F48" i="33"/>
  <c r="H48" i="33" s="1"/>
  <c r="F52" i="33"/>
  <c r="F54" i="33"/>
  <c r="F10" i="33"/>
  <c r="H10" i="33" s="1"/>
  <c r="F20" i="33"/>
  <c r="H20" i="33" s="1"/>
  <c r="F28" i="33"/>
  <c r="H28" i="33" s="1"/>
  <c r="F43" i="33"/>
  <c r="H43" i="33" s="1"/>
  <c r="F45" i="33"/>
  <c r="H45" i="33" s="1"/>
  <c r="F47" i="33"/>
  <c r="H47" i="33" s="1"/>
  <c r="F49" i="33"/>
  <c r="H49" i="33" s="1"/>
  <c r="F53" i="33"/>
  <c r="F56" i="33"/>
  <c r="F58" i="33"/>
  <c r="F71" i="33"/>
  <c r="F72" i="33"/>
  <c r="J72" i="33" s="1"/>
  <c r="F74" i="33"/>
  <c r="J74" i="33" s="1"/>
  <c r="F25" i="33"/>
  <c r="H25" i="33" s="1"/>
  <c r="D25" i="26" s="1"/>
  <c r="F63" i="33"/>
  <c r="F66" i="33"/>
  <c r="F68" i="33"/>
  <c r="I68" i="33" s="1"/>
  <c r="F8" i="33"/>
  <c r="H8" i="33" s="1"/>
  <c r="F22" i="33"/>
  <c r="H22" i="33" s="1"/>
  <c r="E9" i="33"/>
  <c r="G9" i="33" s="1"/>
  <c r="E10" i="33"/>
  <c r="G10" i="33" s="1"/>
  <c r="E16" i="33"/>
  <c r="G16" i="33" s="1"/>
  <c r="E34" i="33"/>
  <c r="G34" i="33" s="1"/>
  <c r="E36" i="33"/>
  <c r="G36" i="33" s="1"/>
  <c r="F59" i="33"/>
  <c r="F62" i="33"/>
  <c r="F67" i="33"/>
  <c r="F70" i="33"/>
  <c r="J70" i="33" s="1"/>
  <c r="E58" i="33"/>
  <c r="E61" i="33"/>
  <c r="E66" i="33"/>
  <c r="F17" i="33"/>
  <c r="H17" i="33" s="1"/>
  <c r="F12" i="33"/>
  <c r="H12" i="33" s="1"/>
  <c r="F15" i="33"/>
  <c r="H15" i="33" s="1"/>
  <c r="F24" i="33"/>
  <c r="H24" i="33" s="1"/>
  <c r="F26" i="33"/>
  <c r="H26" i="33" s="1"/>
  <c r="D26" i="26" s="1"/>
  <c r="F33" i="33"/>
  <c r="H33" i="33" s="1"/>
  <c r="F35" i="33"/>
  <c r="H35" i="33" s="1"/>
  <c r="F41" i="33"/>
  <c r="H41" i="33" s="1"/>
  <c r="F6" i="33"/>
  <c r="H6" i="33" s="1"/>
  <c r="F11" i="33"/>
  <c r="H11" i="33" s="1"/>
  <c r="F21" i="33"/>
  <c r="H21" i="33" s="1"/>
  <c r="E8" i="33"/>
  <c r="G8" i="33" s="1"/>
  <c r="E12" i="33"/>
  <c r="G12" i="33" s="1"/>
  <c r="F14" i="33"/>
  <c r="H14" i="33" s="1"/>
  <c r="E22" i="33"/>
  <c r="G22" i="33" s="1"/>
  <c r="F23" i="33"/>
  <c r="H23" i="33" s="1"/>
  <c r="D23" i="26" s="1"/>
  <c r="E30" i="33"/>
  <c r="G30" i="33" s="1"/>
  <c r="F31" i="33"/>
  <c r="H31" i="33" s="1"/>
  <c r="E39" i="33"/>
  <c r="G39" i="33" s="1"/>
  <c r="C39" i="26" s="1"/>
  <c r="F40" i="33"/>
  <c r="H40" i="33" s="1"/>
  <c r="F57" i="33"/>
  <c r="F61" i="33"/>
  <c r="F65" i="33"/>
  <c r="J65" i="33" s="1"/>
  <c r="F73" i="33"/>
  <c r="J73" i="33" s="1"/>
  <c r="E32" i="33"/>
  <c r="G32" i="33" s="1"/>
  <c r="E41" i="33"/>
  <c r="G41" i="33" s="1"/>
  <c r="C41" i="26" s="1"/>
  <c r="E59" i="33"/>
  <c r="E63" i="33"/>
  <c r="E67" i="33"/>
  <c r="E71" i="33"/>
  <c r="E19" i="33"/>
  <c r="G19" i="33" s="1"/>
  <c r="F29" i="33"/>
  <c r="H29" i="33" s="1"/>
  <c r="D29" i="26" s="1"/>
  <c r="F37" i="33"/>
  <c r="H37" i="33" s="1"/>
  <c r="E11" i="33"/>
  <c r="G11" i="33" s="1"/>
  <c r="E14" i="33"/>
  <c r="G14" i="33" s="1"/>
  <c r="E21" i="33"/>
  <c r="G21" i="33" s="1"/>
  <c r="E23" i="33"/>
  <c r="G23" i="33" s="1"/>
  <c r="E25" i="33"/>
  <c r="G25" i="33" s="1"/>
  <c r="E33" i="33"/>
  <c r="G33" i="33" s="1"/>
  <c r="E5" i="33"/>
  <c r="F16" i="33"/>
  <c r="H16" i="33" s="1"/>
  <c r="F19" i="33"/>
  <c r="H19" i="33" s="1"/>
  <c r="F5" i="33"/>
  <c r="E43" i="33"/>
  <c r="G43" i="33" s="1"/>
  <c r="E45" i="33"/>
  <c r="G45" i="33" s="1"/>
  <c r="E47" i="33"/>
  <c r="G47" i="33" s="1"/>
  <c r="E49" i="33"/>
  <c r="G49" i="33" s="1"/>
  <c r="E53" i="33"/>
  <c r="F55" i="33"/>
  <c r="J55" i="33" s="1"/>
  <c r="E29" i="33"/>
  <c r="G29" i="33" s="1"/>
  <c r="E35" i="33"/>
  <c r="G35" i="33" s="1"/>
  <c r="E37" i="33"/>
  <c r="G37" i="33" s="1"/>
  <c r="E40" i="33"/>
  <c r="G40" i="33" s="1"/>
  <c r="E42" i="33"/>
  <c r="G42" i="33" s="1"/>
  <c r="E46" i="33"/>
  <c r="G46" i="33" s="1"/>
  <c r="E48" i="33"/>
  <c r="G48" i="33" s="1"/>
  <c r="E52" i="33"/>
  <c r="I52" i="33" s="1"/>
  <c r="E54" i="33"/>
  <c r="E31" i="33"/>
  <c r="G31" i="33" s="1"/>
  <c r="E62" i="32"/>
  <c r="F29" i="32"/>
  <c r="G15" i="32"/>
  <c r="G6" i="32"/>
  <c r="G5" i="32" s="1"/>
  <c r="D12" i="32"/>
  <c r="G35" i="32"/>
  <c r="G62" i="32" s="1"/>
  <c r="D15" i="32"/>
  <c r="I58" i="33" l="1"/>
  <c r="I101" i="34"/>
  <c r="I113" i="34" s="1"/>
  <c r="AJ29" i="34"/>
  <c r="AJ31" i="34" s="1"/>
  <c r="H27" i="34"/>
  <c r="I64" i="33"/>
  <c r="J57" i="33"/>
  <c r="J68" i="33"/>
  <c r="J62" i="33"/>
  <c r="J71" i="33"/>
  <c r="I53" i="33"/>
  <c r="I54" i="33"/>
  <c r="I59" i="33"/>
  <c r="I66" i="33"/>
  <c r="J56" i="33"/>
  <c r="I65" i="33"/>
  <c r="J58" i="33"/>
  <c r="I70" i="33"/>
  <c r="I71" i="33"/>
  <c r="I62" i="33"/>
  <c r="I72" i="33"/>
  <c r="I56" i="33"/>
  <c r="I74" i="33"/>
  <c r="I67" i="33"/>
  <c r="I63" i="33"/>
  <c r="J63" i="33"/>
  <c r="J61" i="33"/>
  <c r="J66" i="33"/>
  <c r="I73" i="33"/>
  <c r="J52" i="33"/>
  <c r="J59" i="33"/>
  <c r="I61" i="33"/>
  <c r="J67" i="33"/>
  <c r="I57" i="33"/>
  <c r="I55" i="33"/>
  <c r="J53" i="33"/>
  <c r="H5" i="33"/>
  <c r="G5" i="33"/>
  <c r="J54" i="33"/>
  <c r="D29" i="32"/>
  <c r="G29" i="32"/>
  <c r="G65" i="32" s="1"/>
  <c r="G69" i="32" l="1"/>
  <c r="F52" i="41" s="1"/>
  <c r="L10" i="35"/>
  <c r="H101" i="34"/>
  <c r="V101" i="34"/>
  <c r="V113" i="34" s="1"/>
  <c r="V14" i="46" s="1"/>
  <c r="V16" i="46" s="1"/>
  <c r="H113" i="34"/>
  <c r="L4" i="36" l="1"/>
  <c r="L8" i="36" s="1"/>
  <c r="L13" i="36" s="1"/>
  <c r="U13" i="36" s="1"/>
  <c r="L4" i="44"/>
  <c r="G52" i="41"/>
  <c r="G66" i="41" s="1"/>
  <c r="G69" i="41" s="1"/>
  <c r="L11" i="44"/>
  <c r="G24" i="42"/>
  <c r="F66" i="41"/>
  <c r="L9" i="44" l="1"/>
  <c r="G73" i="41"/>
  <c r="E23" i="46" s="1"/>
  <c r="V23" i="46" s="1"/>
  <c r="V27" i="46" s="1"/>
  <c r="V46" i="46" s="1"/>
  <c r="X17" i="47" s="1"/>
  <c r="G52" i="42"/>
  <c r="H54" i="42" s="1"/>
  <c r="H26" i="42"/>
  <c r="L24" i="44"/>
  <c r="L4" i="45" s="1"/>
  <c r="L8" i="45" s="1"/>
  <c r="L13" i="45" s="1"/>
  <c r="U13" i="45" s="1"/>
  <c r="E20" i="46" s="1"/>
  <c r="I20" i="46" s="1"/>
  <c r="X19" i="47" l="1"/>
  <c r="X20" i="47" s="1"/>
  <c r="X25" i="47" s="1"/>
  <c r="X35" i="47" s="1"/>
  <c r="X94" i="47" s="1"/>
  <c r="H20" i="46"/>
  <c r="I27" i="46"/>
  <c r="E77" i="26"/>
  <c r="F77" i="26"/>
  <c r="E125" i="8"/>
  <c r="D167" i="8"/>
  <c r="C66" i="26" s="1"/>
  <c r="I81" i="8"/>
  <c r="I80" i="8"/>
  <c r="H27" i="46" l="1"/>
  <c r="H46" i="46" s="1"/>
  <c r="I46" i="46"/>
  <c r="G17" i="47" s="1"/>
  <c r="D123" i="8"/>
  <c r="B29" i="6" s="1"/>
  <c r="D216" i="8"/>
  <c r="E218" i="8" s="1"/>
  <c r="J77" i="26"/>
  <c r="I77" i="26"/>
  <c r="I82" i="8"/>
  <c r="J83" i="8" s="1"/>
  <c r="G19" i="47" l="1"/>
  <c r="F19" i="47" s="1"/>
  <c r="F17" i="47"/>
  <c r="C40" i="6"/>
  <c r="B31" i="31" s="1"/>
  <c r="C37" i="6"/>
  <c r="B20" i="31" s="1"/>
  <c r="C34" i="6"/>
  <c r="I3" i="6"/>
  <c r="C30" i="6"/>
  <c r="B29" i="31"/>
  <c r="E27" i="6"/>
  <c r="E24" i="6"/>
  <c r="B23" i="6"/>
  <c r="G20" i="47" l="1"/>
  <c r="G25" i="47" s="1"/>
  <c r="F20" i="47"/>
  <c r="F25" i="47" s="1"/>
  <c r="H11" i="28"/>
  <c r="G26" i="47" l="1"/>
  <c r="F26" i="47" s="1"/>
  <c r="F35" i="47" s="1"/>
  <c r="F94" i="47" s="1"/>
  <c r="D238" i="8"/>
  <c r="C55" i="26" s="1"/>
  <c r="C239" i="8"/>
  <c r="D239" i="8"/>
  <c r="E59" i="26"/>
  <c r="E71" i="26"/>
  <c r="D175" i="8"/>
  <c r="E168" i="8"/>
  <c r="F76" i="26"/>
  <c r="D231" i="8"/>
  <c r="C73" i="26" s="1"/>
  <c r="C233" i="8"/>
  <c r="C232" i="8"/>
  <c r="B231" i="8"/>
  <c r="B230" i="8"/>
  <c r="F62" i="27"/>
  <c r="F64" i="27" s="1"/>
  <c r="B200" i="8"/>
  <c r="E192" i="8"/>
  <c r="D191" i="8"/>
  <c r="D187" i="8"/>
  <c r="C33" i="26" s="1"/>
  <c r="D183" i="8"/>
  <c r="C30" i="26" s="1"/>
  <c r="E181" i="8"/>
  <c r="D41" i="26" s="1"/>
  <c r="C181" i="8"/>
  <c r="C176" i="8"/>
  <c r="B175" i="8"/>
  <c r="E172" i="8"/>
  <c r="E165" i="8"/>
  <c r="D163" i="8" s="1"/>
  <c r="B35" i="6" s="1"/>
  <c r="B6" i="31" s="1"/>
  <c r="D156" i="8"/>
  <c r="B156" i="8"/>
  <c r="E152" i="8"/>
  <c r="D36" i="26" s="1"/>
  <c r="D151" i="8"/>
  <c r="C54" i="26" s="1"/>
  <c r="D150" i="8"/>
  <c r="C53" i="26" s="1"/>
  <c r="C153" i="8"/>
  <c r="B159" i="8" s="1"/>
  <c r="C152" i="8"/>
  <c r="B160" i="8" s="1"/>
  <c r="B151" i="8"/>
  <c r="B150" i="8"/>
  <c r="C157" i="8" s="1"/>
  <c r="E147" i="8"/>
  <c r="C147" i="8"/>
  <c r="D142" i="8"/>
  <c r="C11" i="26" s="1"/>
  <c r="E140" i="8"/>
  <c r="D13" i="26" s="1"/>
  <c r="C140" i="8"/>
  <c r="E137" i="8"/>
  <c r="C31" i="6" s="1"/>
  <c r="B14" i="31" s="1"/>
  <c r="E134" i="8"/>
  <c r="B129" i="8"/>
  <c r="E130" i="8"/>
  <c r="D24" i="26" s="1"/>
  <c r="C130" i="8"/>
  <c r="D120" i="8"/>
  <c r="B120" i="8"/>
  <c r="C121" i="8"/>
  <c r="B128" i="8" s="1"/>
  <c r="D99" i="8"/>
  <c r="C100" i="8"/>
  <c r="B99" i="8"/>
  <c r="E93" i="8"/>
  <c r="D14" i="26" s="1"/>
  <c r="C93" i="8"/>
  <c r="G56" i="27"/>
  <c r="F56" i="27"/>
  <c r="G86" i="27"/>
  <c r="I86" i="27" s="1"/>
  <c r="J86" i="27" s="1"/>
  <c r="F80" i="27"/>
  <c r="F82" i="27" s="1"/>
  <c r="F50" i="27"/>
  <c r="F52" i="27" s="1"/>
  <c r="I44" i="18"/>
  <c r="F44" i="27"/>
  <c r="G16" i="27"/>
  <c r="I16" i="27" s="1"/>
  <c r="F95" i="27"/>
  <c r="F38" i="27"/>
  <c r="F40" i="27" s="1"/>
  <c r="F30" i="27"/>
  <c r="F24" i="27"/>
  <c r="F26" i="27" s="1"/>
  <c r="G30" i="27" s="1"/>
  <c r="J30" i="27" s="1"/>
  <c r="E10" i="27"/>
  <c r="E12" i="27" s="1"/>
  <c r="D116" i="8"/>
  <c r="E114" i="8"/>
  <c r="C111" i="8"/>
  <c r="D107" i="8"/>
  <c r="E108" i="8" s="1"/>
  <c r="C6" i="6" s="1"/>
  <c r="B15" i="31" s="1"/>
  <c r="D86" i="8"/>
  <c r="E87" i="8" s="1"/>
  <c r="D89" i="8"/>
  <c r="E90" i="8" s="1"/>
  <c r="D12" i="26" s="1"/>
  <c r="D82" i="8"/>
  <c r="B80" i="8"/>
  <c r="G80" i="8" s="1"/>
  <c r="E78" i="8"/>
  <c r="D31" i="26" s="1"/>
  <c r="D72" i="8"/>
  <c r="C14" i="26" s="1"/>
  <c r="D64" i="8"/>
  <c r="C9" i="26" s="1"/>
  <c r="D60" i="8"/>
  <c r="C61" i="8"/>
  <c r="B60" i="8"/>
  <c r="E56" i="8"/>
  <c r="D55" i="8"/>
  <c r="C37" i="26" s="1"/>
  <c r="B54" i="8"/>
  <c r="D54" i="8"/>
  <c r="C42" i="26" s="1"/>
  <c r="D53" i="8"/>
  <c r="D103" i="8"/>
  <c r="E104" i="8" s="1"/>
  <c r="C26" i="6" s="1"/>
  <c r="B28" i="31" s="1"/>
  <c r="B103" i="8"/>
  <c r="B107" i="8" s="1"/>
  <c r="E69" i="8"/>
  <c r="D11" i="26" s="1"/>
  <c r="E67" i="8"/>
  <c r="D50" i="8"/>
  <c r="J10" i="6"/>
  <c r="I10" i="6"/>
  <c r="G35" i="47" l="1"/>
  <c r="G94" i="47" s="1"/>
  <c r="F12" i="26"/>
  <c r="H12" i="26" s="1"/>
  <c r="E12" i="26"/>
  <c r="G12" i="26" s="1"/>
  <c r="E100" i="8"/>
  <c r="D49" i="26" s="1"/>
  <c r="D117" i="8"/>
  <c r="E118" i="8" s="1"/>
  <c r="C28" i="6" s="1"/>
  <c r="B13" i="31" s="1"/>
  <c r="C69" i="26"/>
  <c r="E69" i="26" s="1"/>
  <c r="D146" i="8"/>
  <c r="D8" i="26"/>
  <c r="E61" i="8"/>
  <c r="C22" i="6" s="1"/>
  <c r="B17" i="31" s="1"/>
  <c r="C36" i="26"/>
  <c r="E13" i="26"/>
  <c r="G13" i="26" s="1"/>
  <c r="F13" i="26"/>
  <c r="H13" i="26" s="1"/>
  <c r="E157" i="8"/>
  <c r="D53" i="26" s="1"/>
  <c r="F53" i="26" s="1"/>
  <c r="C43" i="26"/>
  <c r="E188" i="8"/>
  <c r="C38" i="6" s="1"/>
  <c r="B10" i="31" s="1"/>
  <c r="E176" i="8"/>
  <c r="D10" i="26" s="1"/>
  <c r="C64" i="26"/>
  <c r="F64" i="26" s="1"/>
  <c r="D113" i="8"/>
  <c r="D80" i="26"/>
  <c r="F80" i="26" s="1"/>
  <c r="E193" i="8"/>
  <c r="C39" i="6" s="1"/>
  <c r="B18" i="31" s="1"/>
  <c r="D33" i="26"/>
  <c r="D71" i="8"/>
  <c r="C32" i="26" s="1"/>
  <c r="D32" i="26"/>
  <c r="E121" i="8"/>
  <c r="E94" i="8"/>
  <c r="D78" i="26" s="1"/>
  <c r="D143" i="8"/>
  <c r="B8" i="6"/>
  <c r="B30" i="31" s="1"/>
  <c r="E73" i="8"/>
  <c r="D15" i="26" s="1"/>
  <c r="D110" i="8"/>
  <c r="C5" i="6"/>
  <c r="E239" i="8"/>
  <c r="D43" i="26" s="1"/>
  <c r="E185" i="8"/>
  <c r="C36" i="6"/>
  <c r="B25" i="31" s="1"/>
  <c r="C21" i="31" s="1"/>
  <c r="E52" i="26"/>
  <c r="F52" i="26"/>
  <c r="J11" i="6"/>
  <c r="F59" i="26"/>
  <c r="I59" i="26" s="1"/>
  <c r="E18" i="26"/>
  <c r="G18" i="26" s="1"/>
  <c r="F17" i="28" s="1"/>
  <c r="F18" i="26"/>
  <c r="H18" i="26" s="1"/>
  <c r="E233" i="8"/>
  <c r="E76" i="26"/>
  <c r="I76" i="26" s="1"/>
  <c r="F71" i="26"/>
  <c r="J71" i="26" s="1"/>
  <c r="J68" i="27"/>
  <c r="E153" i="8"/>
  <c r="D35" i="26" s="1"/>
  <c r="I56" i="27"/>
  <c r="J56" i="27" s="1"/>
  <c r="J16" i="27"/>
  <c r="E57" i="8"/>
  <c r="D6" i="19"/>
  <c r="D40" i="8"/>
  <c r="D38" i="8"/>
  <c r="D6" i="15"/>
  <c r="C33" i="15"/>
  <c r="D33" i="15"/>
  <c r="J20" i="21"/>
  <c r="D37" i="8"/>
  <c r="C41" i="8"/>
  <c r="E25" i="8"/>
  <c r="E26" i="8"/>
  <c r="E27" i="8"/>
  <c r="E29" i="8"/>
  <c r="E33" i="8"/>
  <c r="E34" i="8"/>
  <c r="E36" i="8"/>
  <c r="E37" i="8"/>
  <c r="E38" i="8"/>
  <c r="E39" i="8"/>
  <c r="E40" i="8"/>
  <c r="C22" i="8"/>
  <c r="E23" i="8"/>
  <c r="C35" i="8"/>
  <c r="C36" i="8"/>
  <c r="C39" i="8"/>
  <c r="C40" i="8"/>
  <c r="C24" i="8"/>
  <c r="C25" i="8"/>
  <c r="C26" i="8"/>
  <c r="C27" i="8"/>
  <c r="C28" i="8"/>
  <c r="C29" i="8"/>
  <c r="C30" i="8"/>
  <c r="C31" i="8"/>
  <c r="C32" i="8"/>
  <c r="C33" i="8"/>
  <c r="C34" i="8"/>
  <c r="C23" i="8"/>
  <c r="E8" i="8"/>
  <c r="E9" i="8"/>
  <c r="E10" i="8"/>
  <c r="E11" i="8"/>
  <c r="E12" i="8"/>
  <c r="E13" i="8"/>
  <c r="E14" i="8"/>
  <c r="E15" i="8"/>
  <c r="E16" i="8"/>
  <c r="E17" i="8"/>
  <c r="E6" i="8"/>
  <c r="D8" i="8"/>
  <c r="D9" i="8"/>
  <c r="D10" i="8"/>
  <c r="D11" i="8"/>
  <c r="D12" i="8"/>
  <c r="D13" i="8"/>
  <c r="D14" i="8"/>
  <c r="D15" i="8"/>
  <c r="D16" i="8"/>
  <c r="D17" i="8"/>
  <c r="D6" i="8"/>
  <c r="B7" i="8"/>
  <c r="B8" i="8"/>
  <c r="B9" i="8"/>
  <c r="B11" i="8"/>
  <c r="B12" i="8"/>
  <c r="B13" i="8"/>
  <c r="B14" i="8"/>
  <c r="B15" i="8"/>
  <c r="B16" i="8"/>
  <c r="B17" i="8"/>
  <c r="B18" i="8"/>
  <c r="B19" i="8"/>
  <c r="B20" i="8"/>
  <c r="B21" i="8"/>
  <c r="B6" i="8"/>
  <c r="E79" i="26"/>
  <c r="F79" i="26"/>
  <c r="F75" i="26"/>
  <c r="E75" i="26"/>
  <c r="F73" i="26"/>
  <c r="E73" i="26"/>
  <c r="F68" i="26"/>
  <c r="E68" i="26"/>
  <c r="F67" i="26"/>
  <c r="E67" i="26"/>
  <c r="F66" i="26"/>
  <c r="E66" i="26"/>
  <c r="F63" i="26"/>
  <c r="E63" i="26"/>
  <c r="F62" i="26"/>
  <c r="E62" i="26"/>
  <c r="F61" i="26"/>
  <c r="E61" i="26"/>
  <c r="F60" i="26"/>
  <c r="E60" i="26"/>
  <c r="F58" i="26"/>
  <c r="E58" i="26"/>
  <c r="F57" i="26"/>
  <c r="E57" i="26"/>
  <c r="E56" i="26"/>
  <c r="F56" i="26"/>
  <c r="F55" i="26"/>
  <c r="E54" i="26"/>
  <c r="A10" i="26"/>
  <c r="F7" i="16"/>
  <c r="D43" i="19" s="1"/>
  <c r="D7" i="16"/>
  <c r="C6" i="25"/>
  <c r="C19" i="25" s="1"/>
  <c r="E64" i="26" l="1"/>
  <c r="E53" i="26"/>
  <c r="I53" i="26" s="1"/>
  <c r="C21" i="6"/>
  <c r="B32" i="6"/>
  <c r="B8" i="31" s="1"/>
  <c r="E74" i="8"/>
  <c r="C24" i="6" s="1"/>
  <c r="D28" i="26"/>
  <c r="E219" i="8"/>
  <c r="B7" i="6"/>
  <c r="B7" i="31" s="1"/>
  <c r="E8" i="26"/>
  <c r="G8" i="26" s="1"/>
  <c r="F8" i="26"/>
  <c r="H8" i="26" s="1"/>
  <c r="C15" i="26"/>
  <c r="D128" i="8"/>
  <c r="D92" i="8"/>
  <c r="B4" i="6" s="1"/>
  <c r="B9" i="31" s="1"/>
  <c r="F10" i="26"/>
  <c r="H10" i="26" s="1"/>
  <c r="E10" i="26"/>
  <c r="G10" i="26" s="1"/>
  <c r="E11" i="26"/>
  <c r="G11" i="26" s="1"/>
  <c r="F12" i="28" s="1"/>
  <c r="F11" i="26"/>
  <c r="H11" i="26" s="1"/>
  <c r="B27" i="6"/>
  <c r="B5" i="31" s="1"/>
  <c r="F69" i="26"/>
  <c r="I69" i="26" s="1"/>
  <c r="B12" i="31"/>
  <c r="E111" i="8"/>
  <c r="D9" i="26" s="1"/>
  <c r="E32" i="26"/>
  <c r="G32" i="26" s="1"/>
  <c r="I52" i="26"/>
  <c r="G9" i="29" s="1"/>
  <c r="E80" i="26"/>
  <c r="J80" i="26" s="1"/>
  <c r="J59" i="26"/>
  <c r="J76" i="26"/>
  <c r="B3" i="6"/>
  <c r="D159" i="8"/>
  <c r="I71" i="26"/>
  <c r="J61" i="26"/>
  <c r="J63" i="26"/>
  <c r="J66" i="26"/>
  <c r="J68" i="26"/>
  <c r="J58" i="26"/>
  <c r="F30" i="26"/>
  <c r="H30" i="26" s="1"/>
  <c r="E22" i="26"/>
  <c r="G22" i="26" s="1"/>
  <c r="E49" i="26"/>
  <c r="G49" i="26" s="1"/>
  <c r="F47" i="26"/>
  <c r="H47" i="26" s="1"/>
  <c r="F45" i="26"/>
  <c r="H45" i="26" s="1"/>
  <c r="F37" i="28" s="1"/>
  <c r="E43" i="26"/>
  <c r="G43" i="26" s="1"/>
  <c r="F20" i="26"/>
  <c r="H20" i="26" s="1"/>
  <c r="E17" i="26"/>
  <c r="G17" i="26" s="1"/>
  <c r="J73" i="26"/>
  <c r="J75" i="26"/>
  <c r="F34" i="26"/>
  <c r="H34" i="26" s="1"/>
  <c r="E20" i="26"/>
  <c r="G20" i="26" s="1"/>
  <c r="E30" i="26"/>
  <c r="G30" i="26" s="1"/>
  <c r="E48" i="26"/>
  <c r="G48" i="26" s="1"/>
  <c r="E42" i="26"/>
  <c r="G42" i="26" s="1"/>
  <c r="E37" i="26"/>
  <c r="G37" i="26" s="1"/>
  <c r="E33" i="26"/>
  <c r="G33" i="26" s="1"/>
  <c r="E19" i="26"/>
  <c r="G19" i="26" s="1"/>
  <c r="F14" i="26"/>
  <c r="H14" i="26" s="1"/>
  <c r="F49" i="26"/>
  <c r="H49" i="26" s="1"/>
  <c r="F17" i="26"/>
  <c r="H17" i="26" s="1"/>
  <c r="F37" i="26"/>
  <c r="H37" i="26" s="1"/>
  <c r="E47" i="26"/>
  <c r="G47" i="26" s="1"/>
  <c r="F22" i="26"/>
  <c r="H22" i="26" s="1"/>
  <c r="F32" i="26"/>
  <c r="H32" i="26" s="1"/>
  <c r="F43" i="26"/>
  <c r="H43" i="26" s="1"/>
  <c r="E46" i="26"/>
  <c r="G46" i="26" s="1"/>
  <c r="J57" i="26"/>
  <c r="J62" i="26"/>
  <c r="J67" i="26"/>
  <c r="J79" i="26"/>
  <c r="E45" i="26"/>
  <c r="G45" i="26" s="1"/>
  <c r="E14" i="26"/>
  <c r="G14" i="26" s="1"/>
  <c r="E34" i="26"/>
  <c r="G34" i="26" s="1"/>
  <c r="F19" i="26"/>
  <c r="H19" i="26" s="1"/>
  <c r="J53" i="26"/>
  <c r="J56" i="26"/>
  <c r="I60" i="26"/>
  <c r="I61" i="26"/>
  <c r="I64" i="26"/>
  <c r="I66" i="26"/>
  <c r="I75" i="26"/>
  <c r="I58" i="26"/>
  <c r="I63" i="26"/>
  <c r="I68" i="26"/>
  <c r="I73" i="26"/>
  <c r="I56" i="26"/>
  <c r="J60" i="26"/>
  <c r="J64" i="26"/>
  <c r="I57" i="26"/>
  <c r="I62" i="26"/>
  <c r="I67" i="26"/>
  <c r="I79" i="26"/>
  <c r="F33" i="26"/>
  <c r="H33" i="26" s="1"/>
  <c r="F42" i="26"/>
  <c r="H42" i="26" s="1"/>
  <c r="F46" i="26"/>
  <c r="H46" i="26" s="1"/>
  <c r="F48" i="26"/>
  <c r="H48" i="26" s="1"/>
  <c r="F39" i="28" s="1"/>
  <c r="F54" i="26"/>
  <c r="J54" i="26" s="1"/>
  <c r="E55" i="26"/>
  <c r="I55" i="26" s="1"/>
  <c r="C5" i="19"/>
  <c r="C17" i="25"/>
  <c r="C9" i="6" l="1"/>
  <c r="C14" i="6" s="1"/>
  <c r="D5" i="26"/>
  <c r="C33" i="6"/>
  <c r="B16" i="31" s="1"/>
  <c r="C35" i="26"/>
  <c r="C27" i="26"/>
  <c r="D129" i="8"/>
  <c r="C74" i="26" s="1"/>
  <c r="C5" i="26"/>
  <c r="E9" i="26"/>
  <c r="G9" i="26" s="1"/>
  <c r="F9" i="26"/>
  <c r="H9" i="26" s="1"/>
  <c r="F78" i="26"/>
  <c r="E78" i="26"/>
  <c r="F15" i="26"/>
  <c r="H15" i="26" s="1"/>
  <c r="E15" i="26"/>
  <c r="G15" i="26" s="1"/>
  <c r="J69" i="26"/>
  <c r="B14" i="6"/>
  <c r="F38" i="28"/>
  <c r="G8" i="29"/>
  <c r="G10" i="29" s="1"/>
  <c r="I80" i="26"/>
  <c r="E161" i="8"/>
  <c r="I54" i="26"/>
  <c r="J55" i="26"/>
  <c r="C21" i="25"/>
  <c r="D200" i="8" s="1"/>
  <c r="C29" i="26" s="1"/>
  <c r="C15" i="6" l="1"/>
  <c r="B11" i="31"/>
  <c r="J78" i="26"/>
  <c r="I78" i="26"/>
  <c r="F5" i="26"/>
  <c r="H5" i="26" s="1"/>
  <c r="E5" i="26"/>
  <c r="G5" i="26" s="1"/>
  <c r="F74" i="26"/>
  <c r="E74" i="26"/>
  <c r="F14" i="24"/>
  <c r="F15" i="24" s="1"/>
  <c r="C14" i="24"/>
  <c r="D9" i="24"/>
  <c r="I74" i="26" l="1"/>
  <c r="J74" i="26"/>
  <c r="D14" i="24"/>
  <c r="F16" i="24"/>
  <c r="E14" i="24" l="1"/>
  <c r="F17" i="24"/>
  <c r="D9" i="19"/>
  <c r="C57" i="19"/>
  <c r="F34" i="16"/>
  <c r="D39" i="19"/>
  <c r="E30" i="16"/>
  <c r="C49" i="19" s="1"/>
  <c r="I70" i="15"/>
  <c r="J70" i="15"/>
  <c r="C48" i="15"/>
  <c r="C47" i="15"/>
  <c r="D34" i="21"/>
  <c r="C33" i="21"/>
  <c r="G28" i="21"/>
  <c r="G29" i="21" s="1"/>
  <c r="D15" i="21"/>
  <c r="H14" i="21"/>
  <c r="F14" i="21"/>
  <c r="E14" i="21"/>
  <c r="E15" i="21" s="1"/>
  <c r="G13" i="21"/>
  <c r="G14" i="21" s="1"/>
  <c r="F13" i="21"/>
  <c r="E13" i="21"/>
  <c r="E12" i="21"/>
  <c r="D8" i="21"/>
  <c r="J7" i="21"/>
  <c r="L7" i="21" s="1"/>
  <c r="I7" i="21"/>
  <c r="E7" i="21"/>
  <c r="G18" i="21" s="1"/>
  <c r="J6" i="21"/>
  <c r="L6" i="21" s="1"/>
  <c r="G6" i="21"/>
  <c r="G7" i="21" s="1"/>
  <c r="E6" i="21"/>
  <c r="J5" i="21"/>
  <c r="L5" i="21" s="1"/>
  <c r="E5" i="21"/>
  <c r="E8" i="21" s="1"/>
  <c r="C15" i="24" l="1"/>
  <c r="D15" i="24" s="1"/>
  <c r="F49" i="19"/>
  <c r="E49" i="19"/>
  <c r="I49" i="19" s="1"/>
  <c r="F31" i="16"/>
  <c r="F18" i="24"/>
  <c r="M7" i="21"/>
  <c r="J14" i="21"/>
  <c r="L14" i="21" s="1"/>
  <c r="M14" i="21" s="1"/>
  <c r="J13" i="21"/>
  <c r="L13" i="21" s="1"/>
  <c r="M13" i="21" s="1"/>
  <c r="M6" i="21"/>
  <c r="J12" i="21"/>
  <c r="L12" i="21" s="1"/>
  <c r="M12" i="21" s="1"/>
  <c r="M5" i="21"/>
  <c r="M8" i="21" s="1"/>
  <c r="G19" i="21"/>
  <c r="H21" i="21" s="1"/>
  <c r="H20" i="21"/>
  <c r="H30" i="21"/>
  <c r="H31" i="21" s="1"/>
  <c r="E15" i="24" l="1"/>
  <c r="J49" i="19"/>
  <c r="F19" i="24"/>
  <c r="G33" i="21"/>
  <c r="H34" i="21" s="1"/>
  <c r="G23" i="21"/>
  <c r="H24" i="21" s="1"/>
  <c r="M15" i="21"/>
  <c r="G36" i="21" s="1"/>
  <c r="H37" i="21" s="1"/>
  <c r="C16" i="24" l="1"/>
  <c r="D16" i="24" s="1"/>
  <c r="F20" i="24"/>
  <c r="D44" i="19"/>
  <c r="C17" i="19"/>
  <c r="C16" i="19"/>
  <c r="F28" i="16"/>
  <c r="E27" i="16"/>
  <c r="D67" i="19"/>
  <c r="D38" i="19"/>
  <c r="C12" i="19"/>
  <c r="C34" i="19"/>
  <c r="F24" i="16"/>
  <c r="F21" i="16"/>
  <c r="E20" i="16"/>
  <c r="F19" i="16"/>
  <c r="D13" i="19" s="1"/>
  <c r="E18" i="16"/>
  <c r="C29" i="19"/>
  <c r="E15" i="16"/>
  <c r="E12" i="16"/>
  <c r="C46" i="19" s="1"/>
  <c r="F10" i="16"/>
  <c r="C43" i="19"/>
  <c r="E43" i="19" s="1"/>
  <c r="G43" i="19" s="1"/>
  <c r="F4" i="16"/>
  <c r="D42" i="19" s="1"/>
  <c r="C6" i="19"/>
  <c r="C7" i="19"/>
  <c r="D7" i="19"/>
  <c r="C8" i="19"/>
  <c r="D8" i="19"/>
  <c r="C9" i="19"/>
  <c r="C10" i="19"/>
  <c r="C11" i="19"/>
  <c r="D11" i="19"/>
  <c r="F11" i="19" s="1"/>
  <c r="H11" i="19" s="1"/>
  <c r="D12" i="19"/>
  <c r="C13" i="19"/>
  <c r="C14" i="19"/>
  <c r="D14" i="19"/>
  <c r="E14" i="19" s="1"/>
  <c r="G14" i="19" s="1"/>
  <c r="C15" i="19"/>
  <c r="D15" i="19"/>
  <c r="D16" i="19"/>
  <c r="D17" i="19"/>
  <c r="C18" i="19"/>
  <c r="D18" i="19"/>
  <c r="C19" i="19"/>
  <c r="D19" i="19"/>
  <c r="C20" i="19"/>
  <c r="D20" i="19"/>
  <c r="E20" i="19" s="1"/>
  <c r="G20" i="19" s="1"/>
  <c r="C21" i="19"/>
  <c r="D21" i="19"/>
  <c r="C22" i="19"/>
  <c r="D22" i="19"/>
  <c r="E22" i="19" s="1"/>
  <c r="G22" i="19" s="1"/>
  <c r="C23" i="19"/>
  <c r="D23" i="19"/>
  <c r="C24" i="19"/>
  <c r="C25" i="19"/>
  <c r="F25" i="19" s="1"/>
  <c r="H25" i="19" s="1"/>
  <c r="D25" i="19"/>
  <c r="C26" i="19"/>
  <c r="E26" i="19" s="1"/>
  <c r="G26" i="19" s="1"/>
  <c r="D26" i="19"/>
  <c r="C27" i="19"/>
  <c r="F27" i="19" s="1"/>
  <c r="H27" i="19" s="1"/>
  <c r="D27" i="19"/>
  <c r="C28" i="19"/>
  <c r="D28" i="19"/>
  <c r="D29" i="19"/>
  <c r="C30" i="19"/>
  <c r="D30" i="19"/>
  <c r="F30" i="19" s="1"/>
  <c r="H30" i="19" s="1"/>
  <c r="C31" i="19"/>
  <c r="D31" i="19"/>
  <c r="C32" i="19"/>
  <c r="D32" i="19"/>
  <c r="C33" i="19"/>
  <c r="D33" i="19"/>
  <c r="D34" i="19"/>
  <c r="C35" i="19"/>
  <c r="E35" i="19" s="1"/>
  <c r="G35" i="19" s="1"/>
  <c r="D35" i="19"/>
  <c r="C36" i="19"/>
  <c r="C37" i="19"/>
  <c r="D37" i="19"/>
  <c r="E37" i="19" s="1"/>
  <c r="G37" i="19" s="1"/>
  <c r="C38" i="19"/>
  <c r="E38" i="19" s="1"/>
  <c r="G38" i="19" s="1"/>
  <c r="C39" i="19"/>
  <c r="E39" i="19"/>
  <c r="G39" i="19" s="1"/>
  <c r="D40" i="19"/>
  <c r="C41" i="19"/>
  <c r="D41" i="19"/>
  <c r="E41" i="19" s="1"/>
  <c r="G41" i="19" s="1"/>
  <c r="C42" i="19"/>
  <c r="C44" i="19"/>
  <c r="E44" i="19" s="1"/>
  <c r="G44" i="19" s="1"/>
  <c r="C45" i="19"/>
  <c r="D45" i="19"/>
  <c r="E45" i="19" s="1"/>
  <c r="G45" i="19" s="1"/>
  <c r="D46" i="19"/>
  <c r="C47" i="19"/>
  <c r="D47" i="19"/>
  <c r="C48" i="19"/>
  <c r="F48" i="19" s="1"/>
  <c r="D48" i="19"/>
  <c r="C50" i="19"/>
  <c r="F50" i="19" s="1"/>
  <c r="D50" i="19"/>
  <c r="C51" i="19"/>
  <c r="E51" i="19" s="1"/>
  <c r="D51" i="19"/>
  <c r="C52" i="19"/>
  <c r="D52" i="19"/>
  <c r="C53" i="19"/>
  <c r="F53" i="19" s="1"/>
  <c r="D53" i="19"/>
  <c r="D54" i="19"/>
  <c r="C55" i="19"/>
  <c r="F55" i="19" s="1"/>
  <c r="D55" i="19"/>
  <c r="C56" i="19"/>
  <c r="E56" i="19" s="1"/>
  <c r="D56" i="19"/>
  <c r="F57" i="19"/>
  <c r="D57" i="19"/>
  <c r="C58" i="19"/>
  <c r="D58" i="19"/>
  <c r="C59" i="19"/>
  <c r="F59" i="19" s="1"/>
  <c r="D59" i="19"/>
  <c r="C60" i="19"/>
  <c r="D60" i="19"/>
  <c r="C61" i="19"/>
  <c r="F61" i="19" s="1"/>
  <c r="D61" i="19"/>
  <c r="C62" i="19"/>
  <c r="D62" i="19"/>
  <c r="D63" i="19"/>
  <c r="C64" i="19"/>
  <c r="D64" i="19"/>
  <c r="C65" i="19"/>
  <c r="D65" i="19"/>
  <c r="F65" i="19" s="1"/>
  <c r="C66" i="19"/>
  <c r="D66" i="19"/>
  <c r="E66" i="19" s="1"/>
  <c r="C67" i="19"/>
  <c r="E67" i="19" s="1"/>
  <c r="C68" i="19"/>
  <c r="F68" i="19" s="1"/>
  <c r="D68" i="19"/>
  <c r="D5" i="19"/>
  <c r="D42" i="15"/>
  <c r="E64" i="19"/>
  <c r="E50" i="19"/>
  <c r="F39" i="19"/>
  <c r="H39" i="19" s="1"/>
  <c r="F37" i="19"/>
  <c r="H37" i="19" s="1"/>
  <c r="F35" i="19"/>
  <c r="H35" i="19" s="1"/>
  <c r="F34" i="19"/>
  <c r="H34" i="19" s="1"/>
  <c r="E34" i="19"/>
  <c r="G34" i="19" s="1"/>
  <c r="F32" i="19"/>
  <c r="H32" i="19" s="1"/>
  <c r="E32" i="19"/>
  <c r="G32" i="19" s="1"/>
  <c r="E31" i="19"/>
  <c r="G31" i="19" s="1"/>
  <c r="E30" i="19"/>
  <c r="G30" i="19" s="1"/>
  <c r="E27" i="19"/>
  <c r="G27" i="19" s="1"/>
  <c r="F23" i="19"/>
  <c r="H23" i="19" s="1"/>
  <c r="E23" i="19"/>
  <c r="G23" i="19" s="1"/>
  <c r="F21" i="19"/>
  <c r="H21" i="19" s="1"/>
  <c r="E21" i="19"/>
  <c r="G21" i="19" s="1"/>
  <c r="F19" i="19"/>
  <c r="H19" i="19" s="1"/>
  <c r="E19" i="19"/>
  <c r="G19" i="19" s="1"/>
  <c r="F12" i="19"/>
  <c r="H12" i="19" s="1"/>
  <c r="E12" i="19"/>
  <c r="G12" i="19" s="1"/>
  <c r="A9" i="19"/>
  <c r="E8" i="19"/>
  <c r="G8" i="19" s="1"/>
  <c r="F7" i="19"/>
  <c r="H7" i="19" s="1"/>
  <c r="E7" i="19"/>
  <c r="G7" i="19" s="1"/>
  <c r="C6" i="15"/>
  <c r="C42" i="15"/>
  <c r="E42" i="15" s="1"/>
  <c r="G42" i="15" s="1"/>
  <c r="D24" i="15"/>
  <c r="E24" i="15" s="1"/>
  <c r="G24" i="15" s="1"/>
  <c r="F52" i="18"/>
  <c r="F54" i="18" s="1"/>
  <c r="F44" i="18"/>
  <c r="F38" i="18"/>
  <c r="F30" i="18"/>
  <c r="F24" i="18"/>
  <c r="F26" i="18" s="1"/>
  <c r="G30" i="18" s="1"/>
  <c r="E10" i="18"/>
  <c r="E47" i="15"/>
  <c r="F47" i="15"/>
  <c r="J47" i="15" s="1"/>
  <c r="E49" i="15"/>
  <c r="I49" i="15" s="1"/>
  <c r="F49" i="15"/>
  <c r="E50" i="15"/>
  <c r="I50" i="15" s="1"/>
  <c r="F50" i="15"/>
  <c r="J50" i="15" s="1"/>
  <c r="E51" i="15"/>
  <c r="I51" i="15" s="1"/>
  <c r="F51" i="15"/>
  <c r="E52" i="15"/>
  <c r="F52" i="15"/>
  <c r="J52" i="15" s="1"/>
  <c r="I52" i="15"/>
  <c r="E53" i="15"/>
  <c r="F53" i="15"/>
  <c r="E54" i="15"/>
  <c r="I54" i="15" s="1"/>
  <c r="F54" i="15"/>
  <c r="J54" i="15" s="1"/>
  <c r="E55" i="15"/>
  <c r="F55" i="15"/>
  <c r="J55" i="15" s="1"/>
  <c r="I55" i="15"/>
  <c r="E56" i="15"/>
  <c r="F56" i="15"/>
  <c r="J56" i="15" s="1"/>
  <c r="I56" i="15"/>
  <c r="E57" i="15"/>
  <c r="I57" i="15" s="1"/>
  <c r="F57" i="15"/>
  <c r="E58" i="15"/>
  <c r="F58" i="15"/>
  <c r="J58" i="15" s="1"/>
  <c r="E59" i="15"/>
  <c r="I59" i="15" s="1"/>
  <c r="F59" i="15"/>
  <c r="E60" i="15"/>
  <c r="I60" i="15" s="1"/>
  <c r="F60" i="15"/>
  <c r="J60" i="15" s="1"/>
  <c r="E61" i="15"/>
  <c r="F61" i="15"/>
  <c r="E63" i="15"/>
  <c r="I63" i="15" s="1"/>
  <c r="F63" i="15"/>
  <c r="E64" i="15"/>
  <c r="F64" i="15"/>
  <c r="J64" i="15" s="1"/>
  <c r="I64" i="15"/>
  <c r="E65" i="15"/>
  <c r="F65" i="15"/>
  <c r="J65" i="15" s="1"/>
  <c r="I65" i="15"/>
  <c r="E66" i="15"/>
  <c r="I66" i="15" s="1"/>
  <c r="F66" i="15"/>
  <c r="E67" i="15"/>
  <c r="F67" i="15"/>
  <c r="J67" i="15" s="1"/>
  <c r="F46" i="15"/>
  <c r="E46" i="15"/>
  <c r="F33" i="15"/>
  <c r="H33" i="15" s="1"/>
  <c r="E32" i="15"/>
  <c r="G32" i="15" s="1"/>
  <c r="F32" i="15"/>
  <c r="H32" i="15" s="1"/>
  <c r="E34" i="15"/>
  <c r="G34" i="15" s="1"/>
  <c r="F34" i="15"/>
  <c r="H34" i="15" s="1"/>
  <c r="E35" i="15"/>
  <c r="G35" i="15" s="1"/>
  <c r="F35" i="15"/>
  <c r="H35" i="15" s="1"/>
  <c r="E37" i="15"/>
  <c r="G37" i="15" s="1"/>
  <c r="F37" i="15"/>
  <c r="H37" i="15" s="1"/>
  <c r="E38" i="15"/>
  <c r="G38" i="15" s="1"/>
  <c r="F38" i="15"/>
  <c r="H38" i="15" s="1"/>
  <c r="E39" i="15"/>
  <c r="G39" i="15" s="1"/>
  <c r="F39" i="15"/>
  <c r="H39" i="15" s="1"/>
  <c r="E40" i="15"/>
  <c r="G40" i="15" s="1"/>
  <c r="F40" i="15"/>
  <c r="H40" i="15" s="1"/>
  <c r="E41" i="15"/>
  <c r="G41" i="15" s="1"/>
  <c r="F41" i="15"/>
  <c r="H41" i="15" s="1"/>
  <c r="F42" i="15"/>
  <c r="H42" i="15" s="1"/>
  <c r="E44" i="15"/>
  <c r="G44" i="15" s="1"/>
  <c r="F44" i="15"/>
  <c r="H44" i="15" s="1"/>
  <c r="E45" i="15"/>
  <c r="G45" i="15" s="1"/>
  <c r="F45" i="15"/>
  <c r="H45" i="15" s="1"/>
  <c r="E26" i="15"/>
  <c r="G26" i="15" s="1"/>
  <c r="F26" i="15"/>
  <c r="H26" i="15" s="1"/>
  <c r="E27" i="15"/>
  <c r="F27" i="15"/>
  <c r="H27" i="15" s="1"/>
  <c r="G27" i="15"/>
  <c r="E28" i="15"/>
  <c r="G28" i="15" s="1"/>
  <c r="F28" i="15"/>
  <c r="H28" i="15" s="1"/>
  <c r="E9" i="15"/>
  <c r="G9" i="15" s="1"/>
  <c r="F9" i="15"/>
  <c r="H9" i="15" s="1"/>
  <c r="E10" i="15"/>
  <c r="F10" i="15"/>
  <c r="H10" i="15" s="1"/>
  <c r="G10" i="15"/>
  <c r="E11" i="15"/>
  <c r="G11" i="15" s="1"/>
  <c r="F11" i="15"/>
  <c r="H11" i="15" s="1"/>
  <c r="E12" i="15"/>
  <c r="G12" i="15" s="1"/>
  <c r="F12" i="15"/>
  <c r="H12" i="15" s="1"/>
  <c r="E14" i="15"/>
  <c r="F14" i="15"/>
  <c r="H14" i="15" s="1"/>
  <c r="G14" i="15"/>
  <c r="E15" i="15"/>
  <c r="F15" i="15"/>
  <c r="H15" i="15" s="1"/>
  <c r="G15" i="15"/>
  <c r="E16" i="15"/>
  <c r="G16" i="15" s="1"/>
  <c r="F16" i="15"/>
  <c r="H16" i="15" s="1"/>
  <c r="E17" i="15"/>
  <c r="G17" i="15" s="1"/>
  <c r="F17" i="15"/>
  <c r="H17" i="15" s="1"/>
  <c r="E18" i="15"/>
  <c r="G18" i="15" s="1"/>
  <c r="F18" i="15"/>
  <c r="H18" i="15" s="1"/>
  <c r="E19" i="15"/>
  <c r="F19" i="15"/>
  <c r="H19" i="15" s="1"/>
  <c r="G19" i="15"/>
  <c r="E20" i="15"/>
  <c r="G20" i="15" s="1"/>
  <c r="F20" i="15"/>
  <c r="H20" i="15" s="1"/>
  <c r="E21" i="15"/>
  <c r="G21" i="15" s="1"/>
  <c r="F21" i="15"/>
  <c r="H21" i="15" s="1"/>
  <c r="E22" i="15"/>
  <c r="G22" i="15" s="1"/>
  <c r="F22" i="15"/>
  <c r="H22" i="15" s="1"/>
  <c r="E23" i="15"/>
  <c r="G23" i="15" s="1"/>
  <c r="F23" i="15"/>
  <c r="H23" i="15" s="1"/>
  <c r="E25" i="15"/>
  <c r="G25" i="15" s="1"/>
  <c r="F25" i="15"/>
  <c r="H25" i="15" s="1"/>
  <c r="C63" i="19" l="1"/>
  <c r="C69" i="33"/>
  <c r="E35" i="26"/>
  <c r="G35" i="26" s="1"/>
  <c r="E32" i="8"/>
  <c r="F41" i="26"/>
  <c r="H41" i="26" s="1"/>
  <c r="E39" i="26"/>
  <c r="G39" i="26" s="1"/>
  <c r="E30" i="8"/>
  <c r="F35" i="26"/>
  <c r="H35" i="26" s="1"/>
  <c r="D19" i="8"/>
  <c r="E21" i="8"/>
  <c r="F24" i="26"/>
  <c r="H24" i="26" s="1"/>
  <c r="E19" i="8"/>
  <c r="D21" i="8"/>
  <c r="D20" i="8"/>
  <c r="D18" i="8"/>
  <c r="E33" i="19"/>
  <c r="G33" i="19" s="1"/>
  <c r="F42" i="19"/>
  <c r="H42" i="19" s="1"/>
  <c r="E42" i="19"/>
  <c r="G42" i="19" s="1"/>
  <c r="F16" i="16"/>
  <c r="E47" i="19"/>
  <c r="F8" i="19"/>
  <c r="H8" i="19" s="1"/>
  <c r="E55" i="19"/>
  <c r="F38" i="19"/>
  <c r="H38" i="19" s="1"/>
  <c r="F15" i="19"/>
  <c r="H15" i="19" s="1"/>
  <c r="F13" i="16"/>
  <c r="D10" i="19" s="1"/>
  <c r="E16" i="24"/>
  <c r="F21" i="24"/>
  <c r="I47" i="15"/>
  <c r="F29" i="19"/>
  <c r="H29" i="19" s="1"/>
  <c r="E15" i="19"/>
  <c r="G15" i="19" s="1"/>
  <c r="F20" i="19"/>
  <c r="H20" i="19" s="1"/>
  <c r="F51" i="19"/>
  <c r="I51" i="19" s="1"/>
  <c r="F5" i="19"/>
  <c r="H5" i="19" s="1"/>
  <c r="E52" i="19"/>
  <c r="F45" i="19"/>
  <c r="H45" i="19" s="1"/>
  <c r="F33" i="19"/>
  <c r="H33" i="19" s="1"/>
  <c r="F31" i="19"/>
  <c r="H31" i="19" s="1"/>
  <c r="E28" i="19"/>
  <c r="G28" i="19" s="1"/>
  <c r="F26" i="19"/>
  <c r="H26" i="19" s="1"/>
  <c r="F29" i="26" s="1"/>
  <c r="H29" i="26" s="1"/>
  <c r="F18" i="19"/>
  <c r="H18" i="19" s="1"/>
  <c r="E9" i="19"/>
  <c r="G9" i="19" s="1"/>
  <c r="F16" i="19"/>
  <c r="H16" i="19" s="1"/>
  <c r="E53" i="19"/>
  <c r="I53" i="19" s="1"/>
  <c r="G6" i="23" s="1"/>
  <c r="E57" i="19"/>
  <c r="F17" i="19"/>
  <c r="H17" i="19" s="1"/>
  <c r="I55" i="19"/>
  <c r="E25" i="19"/>
  <c r="G25" i="19" s="1"/>
  <c r="E68" i="19"/>
  <c r="J68" i="19" s="1"/>
  <c r="E61" i="19"/>
  <c r="I61" i="19" s="1"/>
  <c r="F66" i="19"/>
  <c r="J66" i="19" s="1"/>
  <c r="F41" i="19"/>
  <c r="H41" i="19" s="1"/>
  <c r="E17" i="19"/>
  <c r="G17" i="19" s="1"/>
  <c r="E16" i="19"/>
  <c r="G16" i="19" s="1"/>
  <c r="F67" i="19"/>
  <c r="I67" i="19" s="1"/>
  <c r="I61" i="15"/>
  <c r="I58" i="15"/>
  <c r="E59" i="19"/>
  <c r="I59" i="19" s="1"/>
  <c r="E62" i="19"/>
  <c r="E60" i="19"/>
  <c r="I60" i="19" s="1"/>
  <c r="E58" i="19"/>
  <c r="J63" i="15"/>
  <c r="J59" i="15"/>
  <c r="F64" i="19"/>
  <c r="J64" i="19" s="1"/>
  <c r="I57" i="19"/>
  <c r="G11" i="23" s="1"/>
  <c r="E65" i="19"/>
  <c r="I65" i="19" s="1"/>
  <c r="E63" i="19"/>
  <c r="G5" i="23" s="1"/>
  <c r="G24" i="23" s="1"/>
  <c r="E54" i="19"/>
  <c r="J51" i="15"/>
  <c r="F52" i="19"/>
  <c r="F28" i="19"/>
  <c r="H28" i="19" s="1"/>
  <c r="F22" i="19"/>
  <c r="H22" i="19" s="1"/>
  <c r="E18" i="19"/>
  <c r="G18" i="19" s="1"/>
  <c r="F14" i="19"/>
  <c r="H14" i="19" s="1"/>
  <c r="E11" i="19"/>
  <c r="G11" i="19" s="1"/>
  <c r="F9" i="19"/>
  <c r="H9" i="19" s="1"/>
  <c r="F44" i="19"/>
  <c r="H44" i="19" s="1"/>
  <c r="F46" i="19"/>
  <c r="E46" i="19"/>
  <c r="E29" i="19"/>
  <c r="G29" i="19" s="1"/>
  <c r="F47" i="19"/>
  <c r="J47" i="19" s="1"/>
  <c r="F54" i="19"/>
  <c r="F56" i="19"/>
  <c r="J56" i="19" s="1"/>
  <c r="F58" i="19"/>
  <c r="F60" i="19"/>
  <c r="F62" i="19"/>
  <c r="I50" i="19"/>
  <c r="E5" i="19"/>
  <c r="G5" i="19" s="1"/>
  <c r="J55" i="19"/>
  <c r="J57" i="19"/>
  <c r="J59" i="19"/>
  <c r="J51" i="19"/>
  <c r="J50" i="19"/>
  <c r="F24" i="15"/>
  <c r="H24" i="15" s="1"/>
  <c r="F13" i="19"/>
  <c r="H13" i="19" s="1"/>
  <c r="E13" i="19"/>
  <c r="G13" i="19" s="1"/>
  <c r="E6" i="19"/>
  <c r="F10" i="19"/>
  <c r="H10" i="19" s="1"/>
  <c r="F43" i="19"/>
  <c r="H43" i="19" s="1"/>
  <c r="E48" i="19"/>
  <c r="I48" i="19" s="1"/>
  <c r="J53" i="19"/>
  <c r="F63" i="19"/>
  <c r="E10" i="19"/>
  <c r="G10" i="19" s="1"/>
  <c r="I67" i="15"/>
  <c r="I53" i="15"/>
  <c r="J30" i="18"/>
  <c r="E12" i="18"/>
  <c r="G16" i="18" s="1"/>
  <c r="F40" i="18"/>
  <c r="J66" i="15"/>
  <c r="J61" i="15"/>
  <c r="J57" i="15"/>
  <c r="J53" i="15"/>
  <c r="J49" i="15"/>
  <c r="E33" i="15"/>
  <c r="G33" i="15" s="1"/>
  <c r="J46" i="15"/>
  <c r="I46" i="15"/>
  <c r="D24" i="19" l="1"/>
  <c r="F24" i="19" s="1"/>
  <c r="H24" i="19" s="1"/>
  <c r="D27" i="33"/>
  <c r="E69" i="33"/>
  <c r="F69" i="33"/>
  <c r="J69" i="33" s="1"/>
  <c r="H18" i="23"/>
  <c r="G25" i="23"/>
  <c r="G36" i="23" s="1"/>
  <c r="H36" i="23" s="1"/>
  <c r="H13" i="23"/>
  <c r="H20" i="23" s="1"/>
  <c r="E21" i="26"/>
  <c r="G21" i="26" s="1"/>
  <c r="E22" i="8"/>
  <c r="E24" i="19"/>
  <c r="G24" i="19" s="1"/>
  <c r="F16" i="26"/>
  <c r="H16" i="26" s="1"/>
  <c r="E41" i="26"/>
  <c r="G41" i="26" s="1"/>
  <c r="E16" i="26"/>
  <c r="G16" i="26" s="1"/>
  <c r="F39" i="26"/>
  <c r="H39" i="26" s="1"/>
  <c r="E24" i="8"/>
  <c r="F28" i="26"/>
  <c r="H28" i="26" s="1"/>
  <c r="E28" i="26"/>
  <c r="G28" i="26" s="1"/>
  <c r="E29" i="26"/>
  <c r="G29" i="26" s="1"/>
  <c r="E20" i="8"/>
  <c r="F25" i="26"/>
  <c r="H25" i="26" s="1"/>
  <c r="F23" i="26"/>
  <c r="H23" i="26" s="1"/>
  <c r="E18" i="8"/>
  <c r="E24" i="26"/>
  <c r="G24" i="26" s="1"/>
  <c r="F26" i="26"/>
  <c r="H26" i="26" s="1"/>
  <c r="E26" i="26"/>
  <c r="G26" i="26" s="1"/>
  <c r="F21" i="26"/>
  <c r="H21" i="26" s="1"/>
  <c r="E28" i="8"/>
  <c r="I68" i="19"/>
  <c r="J61" i="19"/>
  <c r="F22" i="24"/>
  <c r="C17" i="24"/>
  <c r="I54" i="19"/>
  <c r="J65" i="19"/>
  <c r="I66" i="19"/>
  <c r="J58" i="19"/>
  <c r="I47" i="19"/>
  <c r="J46" i="19"/>
  <c r="J67" i="19"/>
  <c r="J62" i="19"/>
  <c r="J52" i="19"/>
  <c r="J63" i="19"/>
  <c r="J60" i="19"/>
  <c r="I64" i="19"/>
  <c r="J54" i="19"/>
  <c r="I52" i="19"/>
  <c r="I46" i="19"/>
  <c r="I58" i="19"/>
  <c r="I56" i="19"/>
  <c r="G12" i="23" s="1"/>
  <c r="G30" i="23" s="1"/>
  <c r="I62" i="19"/>
  <c r="G6" i="19"/>
  <c r="I63" i="19"/>
  <c r="D56" i="32" s="1"/>
  <c r="D62" i="32" s="1"/>
  <c r="D63" i="32" s="1"/>
  <c r="F6" i="19"/>
  <c r="J48" i="19"/>
  <c r="J44" i="18"/>
  <c r="G44" i="27" s="1"/>
  <c r="I44" i="27" s="1"/>
  <c r="I16" i="18"/>
  <c r="J16" i="18" s="1"/>
  <c r="I69" i="33" l="1"/>
  <c r="F27" i="33"/>
  <c r="H27" i="33" s="1"/>
  <c r="E27" i="33"/>
  <c r="G27" i="33" s="1"/>
  <c r="H31" i="23"/>
  <c r="H38" i="23" s="1"/>
  <c r="I69" i="19"/>
  <c r="J44" i="27"/>
  <c r="D230" i="8"/>
  <c r="E23" i="26"/>
  <c r="G23" i="26" s="1"/>
  <c r="E25" i="26"/>
  <c r="G25" i="26" s="1"/>
  <c r="J69" i="19"/>
  <c r="J71" i="19" s="1"/>
  <c r="D7" i="8"/>
  <c r="F36" i="26"/>
  <c r="H36" i="26" s="1"/>
  <c r="E36" i="26"/>
  <c r="G36" i="26" s="1"/>
  <c r="F23" i="24"/>
  <c r="D17" i="24"/>
  <c r="H6" i="19"/>
  <c r="C72" i="26" l="1"/>
  <c r="C72" i="43"/>
  <c r="D27" i="43"/>
  <c r="E36" i="16"/>
  <c r="H40" i="23"/>
  <c r="E232" i="8"/>
  <c r="D27" i="26" s="1"/>
  <c r="B19" i="6"/>
  <c r="E7" i="8"/>
  <c r="E17" i="24"/>
  <c r="F24" i="24"/>
  <c r="I70" i="19"/>
  <c r="F27" i="43" l="1"/>
  <c r="H27" i="43" s="1"/>
  <c r="E27" i="43"/>
  <c r="G27" i="43" s="1"/>
  <c r="E72" i="43"/>
  <c r="I72" i="43" s="1"/>
  <c r="F72" i="43"/>
  <c r="J72" i="43" s="1"/>
  <c r="F37" i="16"/>
  <c r="D44" i="33" s="1"/>
  <c r="C60" i="33"/>
  <c r="B46" i="6"/>
  <c r="C34" i="31"/>
  <c r="E72" i="26"/>
  <c r="F72" i="26"/>
  <c r="E27" i="26"/>
  <c r="F27" i="26"/>
  <c r="H27" i="26" s="1"/>
  <c r="F25" i="24"/>
  <c r="C18" i="24"/>
  <c r="I71" i="19"/>
  <c r="C75" i="33" l="1"/>
  <c r="C77" i="33" s="1"/>
  <c r="E60" i="33"/>
  <c r="F60" i="33"/>
  <c r="J60" i="33" s="1"/>
  <c r="J75" i="33" s="1"/>
  <c r="E44" i="33"/>
  <c r="D75" i="33"/>
  <c r="D77" i="33" s="1"/>
  <c r="F44" i="33"/>
  <c r="J72" i="26"/>
  <c r="G27" i="26"/>
  <c r="I72" i="26"/>
  <c r="D56" i="41" s="1"/>
  <c r="D36" i="19"/>
  <c r="D69" i="19" s="1"/>
  <c r="D18" i="24"/>
  <c r="F26" i="24"/>
  <c r="G6" i="42" l="1"/>
  <c r="D66" i="41"/>
  <c r="D67" i="41" s="1"/>
  <c r="G44" i="33"/>
  <c r="E75" i="33"/>
  <c r="E77" i="33" s="1"/>
  <c r="J77" i="33"/>
  <c r="H44" i="33"/>
  <c r="F75" i="33"/>
  <c r="F77" i="33" s="1"/>
  <c r="I60" i="33"/>
  <c r="I75" i="33" s="1"/>
  <c r="I76" i="33" s="1"/>
  <c r="E41" i="8" s="1"/>
  <c r="D78" i="33"/>
  <c r="G13" i="29"/>
  <c r="C40" i="19"/>
  <c r="C69" i="19" s="1"/>
  <c r="C71" i="19" s="1"/>
  <c r="F27" i="24"/>
  <c r="E18" i="24"/>
  <c r="C19" i="24" s="1"/>
  <c r="F7" i="15"/>
  <c r="H7" i="15" s="1"/>
  <c r="E7" i="15"/>
  <c r="G7" i="15" s="1"/>
  <c r="A9" i="15"/>
  <c r="F5" i="15"/>
  <c r="H5" i="15" s="1"/>
  <c r="D36" i="15"/>
  <c r="F31" i="15"/>
  <c r="H31" i="15" s="1"/>
  <c r="E31" i="15"/>
  <c r="G31" i="15" s="1"/>
  <c r="F30" i="15"/>
  <c r="H30" i="15" s="1"/>
  <c r="E30" i="15"/>
  <c r="G30" i="15" s="1"/>
  <c r="D29" i="15"/>
  <c r="F29" i="15" s="1"/>
  <c r="H29" i="15" s="1"/>
  <c r="C10" i="15"/>
  <c r="C13" i="15" s="1"/>
  <c r="F8" i="15"/>
  <c r="H8" i="15" s="1"/>
  <c r="E8" i="15"/>
  <c r="G8" i="15" s="1"/>
  <c r="H16" i="42" l="1"/>
  <c r="G34" i="42"/>
  <c r="H43" i="42" s="1"/>
  <c r="D96" i="8"/>
  <c r="D45" i="8"/>
  <c r="I77" i="33"/>
  <c r="H75" i="33"/>
  <c r="E35" i="8"/>
  <c r="D44" i="26"/>
  <c r="G75" i="33"/>
  <c r="C44" i="43"/>
  <c r="C44" i="26"/>
  <c r="F40" i="19"/>
  <c r="H40" i="19" s="1"/>
  <c r="E40" i="19"/>
  <c r="G40" i="19" s="1"/>
  <c r="D19" i="24"/>
  <c r="E19" i="24" s="1"/>
  <c r="C20" i="24" s="1"/>
  <c r="F28" i="24"/>
  <c r="F36" i="19"/>
  <c r="F69" i="19" s="1"/>
  <c r="E36" i="19"/>
  <c r="E69" i="19" s="1"/>
  <c r="D71" i="19"/>
  <c r="D72" i="19" s="1"/>
  <c r="E48" i="15"/>
  <c r="F48" i="15"/>
  <c r="E36" i="15"/>
  <c r="G36" i="15" s="1"/>
  <c r="F36" i="15"/>
  <c r="H36" i="15" s="1"/>
  <c r="F13" i="15"/>
  <c r="H13" i="15" s="1"/>
  <c r="E13" i="15"/>
  <c r="G13" i="15" s="1"/>
  <c r="E43" i="15"/>
  <c r="G43" i="15" s="1"/>
  <c r="F43" i="15"/>
  <c r="H43" i="15" s="1"/>
  <c r="E62" i="15"/>
  <c r="F62" i="15"/>
  <c r="E5" i="15"/>
  <c r="G5" i="15" s="1"/>
  <c r="D68" i="15"/>
  <c r="D70" i="15" s="1"/>
  <c r="E29" i="15"/>
  <c r="G29" i="15" s="1"/>
  <c r="F6" i="15"/>
  <c r="E6" i="15"/>
  <c r="G77" i="33" l="1"/>
  <c r="H76" i="33"/>
  <c r="H77" i="33"/>
  <c r="C50" i="26"/>
  <c r="C50" i="43"/>
  <c r="E46" i="8"/>
  <c r="C51" i="26"/>
  <c r="C51" i="43"/>
  <c r="E97" i="8"/>
  <c r="D35" i="8"/>
  <c r="D20" i="24"/>
  <c r="E20" i="24" s="1"/>
  <c r="C21" i="24" s="1"/>
  <c r="F29" i="24"/>
  <c r="G36" i="19"/>
  <c r="E71" i="19"/>
  <c r="H36" i="19"/>
  <c r="F71" i="19"/>
  <c r="I48" i="15"/>
  <c r="J62" i="15"/>
  <c r="J48" i="15"/>
  <c r="J68" i="15" s="1"/>
  <c r="I62" i="15"/>
  <c r="C68" i="15"/>
  <c r="C70" i="15" s="1"/>
  <c r="D71" i="15" s="1"/>
  <c r="H6" i="15"/>
  <c r="G6" i="15"/>
  <c r="D38" i="26" l="1"/>
  <c r="D38" i="43"/>
  <c r="D51" i="43"/>
  <c r="D51" i="26"/>
  <c r="F51" i="26" s="1"/>
  <c r="H51" i="26" s="1"/>
  <c r="Q4" i="40"/>
  <c r="D50" i="43"/>
  <c r="F50" i="43" s="1"/>
  <c r="H50" i="43" s="1"/>
  <c r="D50" i="26"/>
  <c r="F50" i="26" s="1"/>
  <c r="H50" i="26" s="1"/>
  <c r="E44" i="26"/>
  <c r="G44" i="26" s="1"/>
  <c r="F19" i="28" s="1"/>
  <c r="F20" i="28" s="1"/>
  <c r="G69" i="19"/>
  <c r="G71" i="19" s="1"/>
  <c r="E31" i="8"/>
  <c r="H69" i="19"/>
  <c r="F44" i="26"/>
  <c r="H44" i="26" s="1"/>
  <c r="F30" i="24"/>
  <c r="D21" i="24"/>
  <c r="E21" i="24" s="1"/>
  <c r="C22" i="24" s="1"/>
  <c r="I68" i="15"/>
  <c r="I69" i="15" s="1"/>
  <c r="F68" i="15"/>
  <c r="F70" i="15" s="1"/>
  <c r="H68" i="15"/>
  <c r="G68" i="15"/>
  <c r="G70" i="15" s="1"/>
  <c r="E68" i="15"/>
  <c r="E70" i="15" s="1"/>
  <c r="E50" i="26" l="1"/>
  <c r="G50" i="26" s="1"/>
  <c r="E38" i="43"/>
  <c r="F38" i="43"/>
  <c r="R4" i="40"/>
  <c r="R7" i="40" s="1"/>
  <c r="Q7" i="40"/>
  <c r="E38" i="26"/>
  <c r="G38" i="26" s="1"/>
  <c r="F38" i="26"/>
  <c r="H38" i="26" s="1"/>
  <c r="E50" i="43"/>
  <c r="G50" i="43" s="1"/>
  <c r="E51" i="43"/>
  <c r="G51" i="43" s="1"/>
  <c r="F51" i="43"/>
  <c r="H51" i="43" s="1"/>
  <c r="E51" i="26"/>
  <c r="G51" i="26" s="1"/>
  <c r="G42" i="8"/>
  <c r="H70" i="19"/>
  <c r="H71" i="19" s="1"/>
  <c r="D22" i="24"/>
  <c r="E22" i="24" s="1"/>
  <c r="C23" i="24" s="1"/>
  <c r="F31" i="24"/>
  <c r="F71" i="15"/>
  <c r="H69" i="15"/>
  <c r="H70" i="15" s="1"/>
  <c r="H38" i="43" l="1"/>
  <c r="G38" i="43"/>
  <c r="E40" i="26"/>
  <c r="F40" i="26"/>
  <c r="H40" i="26" s="1"/>
  <c r="F32" i="24"/>
  <c r="D23" i="24"/>
  <c r="R14" i="40" l="1"/>
  <c r="E23" i="24"/>
  <c r="D81" i="8"/>
  <c r="G40" i="26"/>
  <c r="F33" i="24"/>
  <c r="C70" i="26" l="1"/>
  <c r="E70" i="26" s="1"/>
  <c r="C24" i="24"/>
  <c r="D80" i="8"/>
  <c r="C31" i="26" s="1"/>
  <c r="C81" i="26" s="1"/>
  <c r="F34" i="24"/>
  <c r="F70" i="26" l="1"/>
  <c r="J70" i="26" s="1"/>
  <c r="J81" i="26" s="1"/>
  <c r="J83" i="26" s="1"/>
  <c r="D248" i="8"/>
  <c r="D24" i="24"/>
  <c r="E24" i="24" s="1"/>
  <c r="C25" i="24" s="1"/>
  <c r="D25" i="24" s="1"/>
  <c r="E25" i="24" s="1"/>
  <c r="C26" i="24" s="1"/>
  <c r="E83" i="8"/>
  <c r="F35" i="24"/>
  <c r="I70" i="26" l="1"/>
  <c r="G15" i="29" s="1"/>
  <c r="D26" i="24"/>
  <c r="E26" i="24" s="1"/>
  <c r="C27" i="24" s="1"/>
  <c r="D27" i="24" s="1"/>
  <c r="E27" i="24" s="1"/>
  <c r="C28" i="24" s="1"/>
  <c r="C25" i="6"/>
  <c r="F31" i="26"/>
  <c r="H31" i="26" s="1"/>
  <c r="E31" i="26"/>
  <c r="G31" i="26" s="1"/>
  <c r="C83" i="26"/>
  <c r="F36" i="24"/>
  <c r="I81" i="26" l="1"/>
  <c r="I82" i="26" s="1"/>
  <c r="B19" i="31"/>
  <c r="C4" i="31" s="1"/>
  <c r="D28" i="24"/>
  <c r="E28" i="24" s="1"/>
  <c r="C29" i="24" s="1"/>
  <c r="F37" i="24"/>
  <c r="I83" i="26" l="1"/>
  <c r="H3" i="42"/>
  <c r="F38" i="24"/>
  <c r="D29" i="24"/>
  <c r="E29" i="24" s="1"/>
  <c r="C30" i="24" s="1"/>
  <c r="E51" i="8"/>
  <c r="H31" i="42" l="1"/>
  <c r="H56" i="42" s="1"/>
  <c r="H57" i="42" s="1"/>
  <c r="H28" i="42"/>
  <c r="C20" i="6"/>
  <c r="E248" i="8"/>
  <c r="E249" i="8" s="1"/>
  <c r="F6" i="26"/>
  <c r="D30" i="24"/>
  <c r="E30" i="24" s="1"/>
  <c r="C31" i="24" s="1"/>
  <c r="F39" i="24"/>
  <c r="H29" i="42" l="1"/>
  <c r="E247" i="8" s="1"/>
  <c r="D40" i="43" s="1"/>
  <c r="F40" i="43" s="1"/>
  <c r="D245" i="8"/>
  <c r="B27" i="31"/>
  <c r="C26" i="31" s="1"/>
  <c r="C32" i="31" s="1"/>
  <c r="C46" i="6"/>
  <c r="C47" i="6" s="1"/>
  <c r="C35" i="31" s="1"/>
  <c r="C36" i="31" s="1"/>
  <c r="D81" i="26"/>
  <c r="D83" i="26" s="1"/>
  <c r="D84" i="26" s="1"/>
  <c r="E6" i="26"/>
  <c r="E81" i="26" s="1"/>
  <c r="H6" i="26"/>
  <c r="H81" i="26" s="1"/>
  <c r="F81" i="26"/>
  <c r="F83" i="26" s="1"/>
  <c r="F40" i="24"/>
  <c r="D31" i="24"/>
  <c r="E31" i="24" s="1"/>
  <c r="C32" i="24" s="1"/>
  <c r="E40" i="43" l="1"/>
  <c r="H59" i="42"/>
  <c r="C61" i="43"/>
  <c r="E246" i="8"/>
  <c r="D44" i="43" s="1"/>
  <c r="G40" i="43"/>
  <c r="H40" i="43"/>
  <c r="G6" i="26"/>
  <c r="G81" i="26" s="1"/>
  <c r="E83" i="26"/>
  <c r="D32" i="24"/>
  <c r="E32" i="24" s="1"/>
  <c r="C33" i="24"/>
  <c r="F41" i="24"/>
  <c r="F44" i="43" l="1"/>
  <c r="E44" i="43"/>
  <c r="D81" i="43"/>
  <c r="D83" i="43" s="1"/>
  <c r="F30" i="28"/>
  <c r="E61" i="43"/>
  <c r="F61" i="43"/>
  <c r="C81" i="43"/>
  <c r="C83" i="43" s="1"/>
  <c r="F14" i="28"/>
  <c r="F21" i="28" s="1"/>
  <c r="F42" i="24"/>
  <c r="D33" i="24"/>
  <c r="E33" i="24" s="1"/>
  <c r="C34" i="24" s="1"/>
  <c r="J61" i="43" l="1"/>
  <c r="J81" i="43" s="1"/>
  <c r="J83" i="43" s="1"/>
  <c r="D84" i="43"/>
  <c r="I61" i="43"/>
  <c r="G44" i="43"/>
  <c r="G81" i="43" s="1"/>
  <c r="E81" i="43"/>
  <c r="E83" i="43" s="1"/>
  <c r="H44" i="43"/>
  <c r="F81" i="43"/>
  <c r="F83" i="43" s="1"/>
  <c r="G83" i="26"/>
  <c r="H82" i="26"/>
  <c r="D34" i="24"/>
  <c r="E34" i="24" s="1"/>
  <c r="C35" i="24" s="1"/>
  <c r="F43" i="24"/>
  <c r="G83" i="43" l="1"/>
  <c r="G16" i="29"/>
  <c r="G17" i="29" s="1"/>
  <c r="I81" i="43"/>
  <c r="F34" i="28"/>
  <c r="F35" i="28" s="1"/>
  <c r="H81" i="43"/>
  <c r="H82" i="43" s="1"/>
  <c r="H83" i="43" s="1"/>
  <c r="H83" i="26"/>
  <c r="F44" i="24"/>
  <c r="D35" i="24"/>
  <c r="E35" i="24" s="1"/>
  <c r="C36" i="24" s="1"/>
  <c r="I82" i="43" l="1"/>
  <c r="D36" i="24"/>
  <c r="E36" i="24" s="1"/>
  <c r="C37" i="24" s="1"/>
  <c r="F45" i="24"/>
  <c r="Q10" i="40" l="1"/>
  <c r="F41" i="28"/>
  <c r="F42" i="28" s="1"/>
  <c r="F44" i="28" s="1"/>
  <c r="I83" i="43"/>
  <c r="D37" i="24"/>
  <c r="E37" i="24" s="1"/>
  <c r="C38" i="24" s="1"/>
  <c r="F46" i="24"/>
  <c r="Q12" i="40" l="1"/>
  <c r="Q20" i="40" s="1"/>
  <c r="Q21" i="40" s="1"/>
  <c r="R10" i="40"/>
  <c r="R12" i="40" s="1"/>
  <c r="R20" i="40" s="1"/>
  <c r="R21" i="40" s="1"/>
  <c r="F47" i="24"/>
  <c r="D38" i="24"/>
  <c r="E38" i="24" s="1"/>
  <c r="C39" i="24" s="1"/>
  <c r="D39" i="24" l="1"/>
  <c r="E39" i="24" s="1"/>
  <c r="C40" i="24" s="1"/>
  <c r="F48" i="24"/>
  <c r="F49" i="24" l="1"/>
  <c r="D40" i="24"/>
  <c r="E40" i="24" s="1"/>
  <c r="C41" i="24" s="1"/>
  <c r="D41" i="24" l="1"/>
  <c r="E41" i="24" s="1"/>
  <c r="C42" i="24"/>
  <c r="F50" i="24"/>
  <c r="D42" i="24" l="1"/>
  <c r="E42" i="24" s="1"/>
  <c r="C43" i="24" s="1"/>
  <c r="D43" i="24" l="1"/>
  <c r="E43" i="24" s="1"/>
  <c r="C44" i="24"/>
  <c r="D44" i="24" l="1"/>
  <c r="E44" i="24" s="1"/>
  <c r="C45" i="24" s="1"/>
  <c r="D45" i="24" l="1"/>
  <c r="E45" i="24" s="1"/>
  <c r="C46" i="24" s="1"/>
  <c r="D46" i="24" l="1"/>
  <c r="E46" i="24" s="1"/>
  <c r="C47" i="24"/>
  <c r="D47" i="24" l="1"/>
  <c r="E47" i="24" s="1"/>
  <c r="C48" i="24" s="1"/>
  <c r="D48" i="24" l="1"/>
  <c r="E48" i="24" s="1"/>
  <c r="C49" i="24" s="1"/>
  <c r="D49" i="24" s="1"/>
  <c r="D50" i="24" l="1"/>
  <c r="E49" i="24"/>
  <c r="E50" i="24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2.xml><?xml version="1.0" encoding="utf-8"?>
<comments xmlns="http://schemas.openxmlformats.org/spreadsheetml/2006/main">
  <authors>
    <author>ROBERTO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 xml:space="preserve">incluye:
(+)deudores por venta (-)estimación deudores incobrables
(-)anticipo ventas
</t>
        </r>
      </text>
    </comment>
  </commentList>
</comments>
</file>

<file path=xl/comments3.xml><?xml version="1.0" encoding="utf-8"?>
<comments xmlns="http://schemas.openxmlformats.org/spreadsheetml/2006/main">
  <authors>
    <author>ROBERTO</author>
  </authors>
  <commentList>
    <comment ref="E33" authorId="0">
      <text>
        <r>
          <rPr>
            <b/>
            <sz val="9"/>
            <color indexed="81"/>
            <rFont val="Tahoma"/>
            <family val="2"/>
          </rPr>
          <t>este gasto lo podrá usar los Andes SpA en el AT 2025 o siguiente, según cuando se pague</t>
        </r>
      </text>
    </comment>
  </commentList>
</comments>
</file>

<file path=xl/comments4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5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6.xml><?xml version="1.0" encoding="utf-8"?>
<comments xmlns="http://schemas.openxmlformats.org/spreadsheetml/2006/main">
  <authors>
    <author>www.intercambiosvirtuales.org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9" authorId="0">
      <text>
        <r>
          <rPr>
            <sz val="9"/>
            <color indexed="81"/>
            <rFont val="Tahoma"/>
            <family val="2"/>
          </rPr>
          <t xml:space="preserve">RECUADRO 10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sharedStrings.xml><?xml version="1.0" encoding="utf-8"?>
<sst xmlns="http://schemas.openxmlformats.org/spreadsheetml/2006/main" count="2311" uniqueCount="798">
  <si>
    <t>TOTALES</t>
  </si>
  <si>
    <t>Capital</t>
  </si>
  <si>
    <t>CAJA</t>
  </si>
  <si>
    <t xml:space="preserve">DEBE </t>
  </si>
  <si>
    <t>HABER</t>
  </si>
  <si>
    <t>DEBE</t>
  </si>
  <si>
    <t>PROVEEDORES</t>
  </si>
  <si>
    <t>IVA DEBITO FISCAL</t>
  </si>
  <si>
    <t>VEHICULO</t>
  </si>
  <si>
    <t>venta de mercaderias</t>
  </si>
  <si>
    <t>Activo</t>
  </si>
  <si>
    <t>Pasivo</t>
  </si>
  <si>
    <t>ASIENTOS</t>
  </si>
  <si>
    <t>DETALLES</t>
  </si>
  <si>
    <t>SUELDO BASE</t>
  </si>
  <si>
    <t>MUEBLES Y UTILES</t>
  </si>
  <si>
    <t>IVA CREDITO FISCAL</t>
  </si>
  <si>
    <t>SEGUROS ANTICIPADOS</t>
  </si>
  <si>
    <t>BANCO</t>
  </si>
  <si>
    <t>ARRIENDO</t>
  </si>
  <si>
    <t>INTERESES GANADOS</t>
  </si>
  <si>
    <t>MERMA MERCADERIA</t>
  </si>
  <si>
    <t>SD</t>
  </si>
  <si>
    <t>depreciación del ejercicio</t>
  </si>
  <si>
    <t xml:space="preserve">Activos </t>
  </si>
  <si>
    <t>Activos corrientes</t>
  </si>
  <si>
    <t xml:space="preserve">Total de activos corrientes </t>
  </si>
  <si>
    <t>Activos no corrientes</t>
  </si>
  <si>
    <t>Total de activos no corrientes</t>
  </si>
  <si>
    <t>Total de activos</t>
  </si>
  <si>
    <t>Pasivos</t>
  </si>
  <si>
    <t>Pasivos corrientes</t>
  </si>
  <si>
    <t>Pasivos no corrientes</t>
  </si>
  <si>
    <t>Total de pasivos no corrientes</t>
  </si>
  <si>
    <t>Patrimonio</t>
  </si>
  <si>
    <t>Patrimonio total</t>
  </si>
  <si>
    <t>Total de patrimonio y pasivos</t>
  </si>
  <si>
    <t xml:space="preserve">LIBRO DIARIO 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</si>
  <si>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</si>
  <si>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</si>
  <si>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</si>
  <si>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</si>
  <si>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</si>
  <si>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</si>
  <si>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</si>
  <si>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</si>
  <si>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</si>
  <si>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</si>
  <si>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11002</t>
  </si>
  <si>
    <t>BANCOS</t>
  </si>
  <si>
    <t>ACCIONES EN YYY SAC</t>
  </si>
  <si>
    <t>DEPÓSITOS A PLAZO</t>
  </si>
  <si>
    <t>EXISTENCIAS</t>
  </si>
  <si>
    <t>IVA CRÉDITO FISCAL</t>
  </si>
  <si>
    <t>15001</t>
  </si>
  <si>
    <t>TERRENOS</t>
  </si>
  <si>
    <t>15002</t>
  </si>
  <si>
    <t>DERECHOS DE AGUAS</t>
  </si>
  <si>
    <t>EQUIPOS COMPUTACIONALES</t>
  </si>
  <si>
    <t>DEPRECIACIONES ACUMULADAS</t>
  </si>
  <si>
    <t>IVA DÉBITO FISCAL</t>
  </si>
  <si>
    <t>21001</t>
  </si>
  <si>
    <t>ACREEDORES VARIOS</t>
  </si>
  <si>
    <t>ESTIMACIÓN DEUDORES INCOBRABLES</t>
  </si>
  <si>
    <t>PROVISIÓN VACACIONES</t>
  </si>
  <si>
    <t>RETENCIONES SEGUNDA CATEGORIA</t>
  </si>
  <si>
    <t>PROVISIÓN IMPUESTO A LA RENTA</t>
  </si>
  <si>
    <t xml:space="preserve">RESERVA IFRS 1 ADOPCIÓN </t>
  </si>
  <si>
    <t>REMUNERACIONES</t>
  </si>
  <si>
    <t>ASESORIAS EXTERNAS</t>
  </si>
  <si>
    <t>44062</t>
  </si>
  <si>
    <t>GASTOS NO DOCUMENTADOS</t>
  </si>
  <si>
    <t>44063</t>
  </si>
  <si>
    <t>IMPUESTO A LA RENTA</t>
  </si>
  <si>
    <t>GASTOS BANCARIOS</t>
  </si>
  <si>
    <t>GANANCIA FONDOS MUTUOS</t>
  </si>
  <si>
    <t>INGRESOS POR VENTAS</t>
  </si>
  <si>
    <t>RESULTADO EJERCICIO "PERDIDA"</t>
  </si>
  <si>
    <t>CAPITAL SOCIAL</t>
  </si>
  <si>
    <t>ACCIONES POR SUSCRIBIR</t>
  </si>
  <si>
    <t>ACCIONES SUSCRITAS</t>
  </si>
  <si>
    <t>11001</t>
  </si>
  <si>
    <t>DIVIDENDOS PROVISORIOS</t>
  </si>
  <si>
    <t>APORTE EMPRESA</t>
  </si>
  <si>
    <t>REAJUSTE PPMO</t>
  </si>
  <si>
    <t>GASTOS DEUDORES INCOBRABLES</t>
  </si>
  <si>
    <t xml:space="preserve">CAJA </t>
  </si>
  <si>
    <t xml:space="preserve">ACTIVO INTANGIBLE POR GOODWILL </t>
  </si>
  <si>
    <t>VEHÍCULOS</t>
  </si>
  <si>
    <t>CASTIGO DE MERCADERIA</t>
  </si>
  <si>
    <t>ARRIENDOS</t>
  </si>
  <si>
    <t>DEPRECIACIONES ACUMULADAS EN LEASING</t>
  </si>
  <si>
    <t>DEPRECIACIÓN FINANCIERA DEL EJERCICIO</t>
  </si>
  <si>
    <t>DEPRECIACIÓN LEASING DEL EJERCICIO</t>
  </si>
  <si>
    <t>INTERESES DE LEASING</t>
  </si>
  <si>
    <t>ANTICIPO DE VENTAS</t>
  </si>
  <si>
    <t>IMPUESTO DIFERIDO</t>
  </si>
  <si>
    <t>PERDIDA VENTA VEHICULO</t>
  </si>
  <si>
    <t>PRESTAMOS BANCARIOS</t>
  </si>
  <si>
    <t>OBLIGACIONES POR LEASING</t>
  </si>
  <si>
    <t>SEGUROS</t>
  </si>
  <si>
    <t>COSTO VENTA</t>
  </si>
  <si>
    <t>GASTO POR INSUMOS GENERALES</t>
  </si>
  <si>
    <t>PROVISIÓN DE INSUMOS  GENERALES</t>
  </si>
  <si>
    <t>EQUIPOS DE PRODUCCIÓN</t>
  </si>
  <si>
    <t>VEHICULOS EN LEASING</t>
  </si>
  <si>
    <t>MAQUINARIAS EN LEASING</t>
  </si>
  <si>
    <t>GASTOS POR REPARACIÓN</t>
  </si>
  <si>
    <t>IMPOSICIONES POR PAGAR</t>
  </si>
  <si>
    <t xml:space="preserve">DEUDORES POR VENTAS </t>
  </si>
  <si>
    <t>PPMO</t>
  </si>
  <si>
    <t>PROVISIÓN PPMO</t>
  </si>
  <si>
    <t>BALANCE GENERAL DEL 2 de Enero al 31 de Diciembre de 2022</t>
  </si>
  <si>
    <t>VENTA DE BCM E INVERSIONES LOS ANDES  SpA</t>
  </si>
  <si>
    <t>IMPUESTO ESPECÍFICO DIESEL</t>
  </si>
  <si>
    <t>REMUNERACIONES POR PAGAR</t>
  </si>
  <si>
    <t>Compra de Equipos computacionales</t>
  </si>
  <si>
    <t>valor de mercado misma fecha</t>
  </si>
  <si>
    <t>IVA totalmente irrecuperable</t>
  </si>
  <si>
    <t>Subtotal</t>
  </si>
  <si>
    <t>}</t>
  </si>
  <si>
    <t>AÑOS</t>
  </si>
  <si>
    <t>MESES</t>
  </si>
  <si>
    <t>VALOR  INICIAL</t>
  </si>
  <si>
    <t>MESES DE USO</t>
  </si>
  <si>
    <t>DEPRECIACIÓN ANUAL</t>
  </si>
  <si>
    <t>Compra de terreno</t>
  </si>
  <si>
    <t>Crédito del 4% (Art. 33 Bis) tributario</t>
  </si>
  <si>
    <t>Compra de derecho de agua</t>
  </si>
  <si>
    <t>Valoriza financiera</t>
  </si>
  <si>
    <t>Valoriza costo rep</t>
  </si>
  <si>
    <t>Diferencia</t>
  </si>
  <si>
    <t>Valor de adquisición según factura (2/1/2022 )</t>
  </si>
  <si>
    <t xml:space="preserve">VIDA UTIL </t>
  </si>
  <si>
    <t>VALOR NETO  FINAL
31-12-2022</t>
  </si>
  <si>
    <t xml:space="preserve">Corrección Monetaria a diciembre </t>
  </si>
  <si>
    <t>Corrección Monetaria a diciembre</t>
  </si>
  <si>
    <t>VIDA UTIL</t>
  </si>
  <si>
    <t xml:space="preserve">ANEXO EXISTENCIAS </t>
  </si>
  <si>
    <t>1.-</t>
  </si>
  <si>
    <t>acciones suscritas</t>
  </si>
  <si>
    <t>acciones por suscribir</t>
  </si>
  <si>
    <t>ppmo</t>
  </si>
  <si>
    <t>costo venta</t>
  </si>
  <si>
    <t>existencias</t>
  </si>
  <si>
    <t>depreciacion ejercicio</t>
  </si>
  <si>
    <t>depreciacion acumulada</t>
  </si>
  <si>
    <t>débito fiscal</t>
  </si>
  <si>
    <t>crédito fiscal</t>
  </si>
  <si>
    <t>retenciones segunda categoria</t>
  </si>
  <si>
    <t>banco</t>
  </si>
  <si>
    <t>provisión ppmo</t>
  </si>
  <si>
    <t>reajuste ppmo</t>
  </si>
  <si>
    <t>terrenos</t>
  </si>
  <si>
    <t>derechos de agua</t>
  </si>
  <si>
    <t>reserfa ifrs 1ra adopcion</t>
  </si>
  <si>
    <t>CÁLCULO DE PROVISION DE VACACIONES DE UNA EMPRESA</t>
  </si>
  <si>
    <t>TRABAJADOR/A</t>
  </si>
  <si>
    <t>F INGRESO</t>
  </si>
  <si>
    <t>F CIERRE</t>
  </si>
  <si>
    <t>N° MESES</t>
  </si>
  <si>
    <t>N° DIAS</t>
  </si>
  <si>
    <t>N° VACACIONES</t>
  </si>
  <si>
    <t>PROVISION</t>
  </si>
  <si>
    <t xml:space="preserve">MENSUAL </t>
  </si>
  <si>
    <t>DIARIO</t>
  </si>
  <si>
    <t>TRABAJADOS</t>
  </si>
  <si>
    <t>HÁBILES</t>
  </si>
  <si>
    <t>TOMADAS</t>
  </si>
  <si>
    <t>PENDIENTES</t>
  </si>
  <si>
    <t>VACACIONES</t>
  </si>
  <si>
    <t>Pedro Rojas</t>
  </si>
  <si>
    <t xml:space="preserve">Macarena Silva </t>
  </si>
  <si>
    <t xml:space="preserve">José Retamales </t>
  </si>
  <si>
    <t>Año 2022</t>
  </si>
  <si>
    <t>Remuneraciones del Personal</t>
  </si>
  <si>
    <t>Aporte Empleador</t>
  </si>
  <si>
    <t>Cotizaciones Previsionales</t>
  </si>
  <si>
    <t>Remuneraciones por Pagar</t>
  </si>
  <si>
    <t>Gasto por Vacaciones del Personal</t>
  </si>
  <si>
    <t xml:space="preserve">Provisión Vacaciones del  Personal </t>
  </si>
  <si>
    <t>Año 2023</t>
  </si>
  <si>
    <t xml:space="preserve">GASTO POR VACACIONES DEL PERSONAL </t>
  </si>
  <si>
    <t>gasto por vacaciones del personal</t>
  </si>
  <si>
    <t xml:space="preserve">provision vacaciones </t>
  </si>
  <si>
    <t>9,-</t>
  </si>
  <si>
    <t>gasto por deudores incobrables</t>
  </si>
  <si>
    <t xml:space="preserve">estimación deudores </t>
  </si>
  <si>
    <t>resultado financiero</t>
  </si>
  <si>
    <t>agregados</t>
  </si>
  <si>
    <t>depreciacion financiera</t>
  </si>
  <si>
    <t>gastos no documentados</t>
  </si>
  <si>
    <t>gasto deudores incobrables</t>
  </si>
  <si>
    <t>MULTAS FISCALES</t>
  </si>
  <si>
    <t>multas fiscales</t>
  </si>
  <si>
    <t>impuesto renta</t>
  </si>
  <si>
    <t>impuesto diferido</t>
  </si>
  <si>
    <t>provisión impuesto renta</t>
  </si>
  <si>
    <t>DEPRECIACIÓN 2022</t>
  </si>
  <si>
    <t xml:space="preserve"> LEASING FINANCIERO </t>
  </si>
  <si>
    <t>Bien:</t>
  </si>
  <si>
    <t>EDIFICIO</t>
  </si>
  <si>
    <t>costo:</t>
  </si>
  <si>
    <t>Nº cuotas</t>
  </si>
  <si>
    <t>Monto cuota</t>
  </si>
  <si>
    <t>Tasa inTERÉS mensual</t>
  </si>
  <si>
    <t>CUADRO DE AMORTIZACION</t>
  </si>
  <si>
    <t>nº cuotas</t>
  </si>
  <si>
    <t>Interés</t>
  </si>
  <si>
    <t xml:space="preserve">amortización </t>
  </si>
  <si>
    <t>Cuota</t>
  </si>
  <si>
    <t xml:space="preserve">Valor de adquisición de 200 acciones, valor histórico </t>
  </si>
  <si>
    <t>UTILIDADES ACUMULADAS</t>
  </si>
  <si>
    <t>ACCIONES SOCIEDAD RRR SPA</t>
  </si>
  <si>
    <t>VEHICULOS</t>
  </si>
  <si>
    <t>DEPRECIACIÓN ACUMULADA</t>
  </si>
  <si>
    <t>DESARROLLO</t>
  </si>
  <si>
    <t>Menos:</t>
  </si>
  <si>
    <t xml:space="preserve">Depreciación Acumulada </t>
  </si>
  <si>
    <t>Pasivo Exigible</t>
  </si>
  <si>
    <t xml:space="preserve">3.- GOODWILL DETERMINADO A LA FECHA DE LA FUSIÓN </t>
  </si>
  <si>
    <t>DIFERENCIA</t>
  </si>
  <si>
    <t xml:space="preserve">Costo adquisición de las acciones  al 31.12.2022: </t>
  </si>
  <si>
    <t>Valor de adquisición de 800 acciones a la fecha del último balance</t>
  </si>
  <si>
    <t xml:space="preserve">Costo adquisición 1000 acciones </t>
  </si>
  <si>
    <t xml:space="preserve">Total Activo </t>
  </si>
  <si>
    <t xml:space="preserve">CAPITAL PROPIO FINANCIERO </t>
  </si>
  <si>
    <t xml:space="preserve">2.- COSTO DE ADQUISICIÓN DEL 100% DE LAS ACCIONES  </t>
  </si>
  <si>
    <t>2-.-</t>
  </si>
  <si>
    <t>caja</t>
  </si>
  <si>
    <t>4,-</t>
  </si>
  <si>
    <t>5,-</t>
  </si>
  <si>
    <t>6,-</t>
  </si>
  <si>
    <t>7,-</t>
  </si>
  <si>
    <t>8,-</t>
  </si>
  <si>
    <t>10-,</t>
  </si>
  <si>
    <t>11,-</t>
  </si>
  <si>
    <t>UTILIDAD DEL EJERCICIO</t>
  </si>
  <si>
    <t>asiento de apertura</t>
  </si>
  <si>
    <t>DEL 01 DE ENERO AL 31 DE DICIEMBRE 2023</t>
  </si>
  <si>
    <t>SUBTOTAL</t>
  </si>
  <si>
    <t>RESULTADO EJERCICIO</t>
  </si>
  <si>
    <t>FONDOS MUTUOS</t>
  </si>
  <si>
    <t>UTILIDAD DEL EJERCICO</t>
  </si>
  <si>
    <t xml:space="preserve">UTILIDADES ACUMULADAS </t>
  </si>
  <si>
    <t xml:space="preserve">distribución de utilidad </t>
  </si>
  <si>
    <t xml:space="preserve">BANCO </t>
  </si>
  <si>
    <t>compra de muebles y útiles para la empresa</t>
  </si>
  <si>
    <t>DEUDORES POR VENTAS</t>
  </si>
  <si>
    <t>COSTO DE VENTAS</t>
  </si>
  <si>
    <t xml:space="preserve">EXISTENCIA </t>
  </si>
  <si>
    <t>SEGURO ANTICIPADO</t>
  </si>
  <si>
    <t>compra vehiculo</t>
  </si>
  <si>
    <t>GASTO REPARACION VEHICULO</t>
  </si>
  <si>
    <t>GASTOS POR REPARACIÓN VEHICULO</t>
  </si>
  <si>
    <t>RETENCIONES 2DA CATEGORIA</t>
  </si>
  <si>
    <t>formulario 29 de diciembre 2022</t>
  </si>
  <si>
    <t>imposiciones de diciembre 2022</t>
  </si>
  <si>
    <t>PPM</t>
  </si>
  <si>
    <t>formulario 29 de enero 2023</t>
  </si>
  <si>
    <t>EDIFICIO EN LEASING</t>
  </si>
  <si>
    <t xml:space="preserve">contrato de leasing </t>
  </si>
  <si>
    <t>INTERESES POR LEASING</t>
  </si>
  <si>
    <t xml:space="preserve">pago cuota leasing de marzo a diciembre </t>
  </si>
  <si>
    <t xml:space="preserve">SEGUROS </t>
  </si>
  <si>
    <t>pago de reparación de vehículo con efectivo</t>
  </si>
  <si>
    <t>gasto por seguro de mayo a diciembre</t>
  </si>
  <si>
    <t>Contratación de seguro de 1 año para vehículo con efectivo</t>
  </si>
  <si>
    <t>cancelación de la venta enero de un 60%</t>
  </si>
  <si>
    <t>INGRESOS POR ARRIENDO</t>
  </si>
  <si>
    <t>IVA CREDITO FISCAL ( el 70% afecto a iva)</t>
  </si>
  <si>
    <t>gasto por seguro de agosto  a diciembre con cheque</t>
  </si>
  <si>
    <t>ANEXO ACTIVO INMOVILIZADO 2022</t>
  </si>
  <si>
    <t>ANEXO ACTIVO INMOVILIZADO 2023</t>
  </si>
  <si>
    <t>DEPRECIACIÓN 2023</t>
  </si>
  <si>
    <t>VALOR NETO  FINAL
31-12-2023</t>
  </si>
  <si>
    <t>Compra de vehiculo</t>
  </si>
  <si>
    <t>Compra de edificio en leasing</t>
  </si>
  <si>
    <t>Valor de adquisición según factura (05-2023 )</t>
  </si>
  <si>
    <t>Valor de adquisición según contrato (03-2023)</t>
  </si>
  <si>
    <t>VALOR NETO  FINAL
30-09-2023</t>
  </si>
  <si>
    <t>impuesto a la renta at 2023</t>
  </si>
  <si>
    <t>DIVIDENDOS POR PAGAR</t>
  </si>
  <si>
    <t>acuerdo junta accionista de distribuir 30%</t>
  </si>
  <si>
    <t xml:space="preserve">ajuste por dividendos provisorios </t>
  </si>
  <si>
    <t xml:space="preserve">arriendo de brna sin muebles pagados en efectivo de agosto a diciembre </t>
  </si>
  <si>
    <t>depreciación vehiculo en venta</t>
  </si>
  <si>
    <t>FONDO MUTUO</t>
  </si>
  <si>
    <t>deposito en fondo mutuo</t>
  </si>
  <si>
    <t>ARRIENDO ANTICIPADO</t>
  </si>
  <si>
    <t xml:space="preserve">Contratación de arriendo de local a contar de septiembre </t>
  </si>
  <si>
    <t xml:space="preserve">se contabilizan los arriendos pagados a contar de septiembre </t>
  </si>
  <si>
    <t>compra mercaderia al crédito</t>
  </si>
  <si>
    <t xml:space="preserve">rescata depósito a plazo </t>
  </si>
  <si>
    <t xml:space="preserve">centraliza libro remuneraciones </t>
  </si>
  <si>
    <t>reversa provisiones de vacaciones 2022 tomadas en el 2023</t>
  </si>
  <si>
    <t>pago de imposiciones y remuneraciones del año</t>
  </si>
  <si>
    <t xml:space="preserve">anticipo de ventas diciembre </t>
  </si>
  <si>
    <t>provisión deudores incobrables 2,5%</t>
  </si>
  <si>
    <t>PRESTAMO BANCARIO</t>
  </si>
  <si>
    <t>INTERESES FINANCIEROS</t>
  </si>
  <si>
    <t>amortiza préstamo bancario con cheque</t>
  </si>
  <si>
    <t>paga 30% de mercaderia comprada en el 2023</t>
  </si>
  <si>
    <t xml:space="preserve">MATERIALES </t>
  </si>
  <si>
    <t xml:space="preserve">IVA CREDITO FISCAL </t>
  </si>
  <si>
    <t xml:space="preserve">compra materiales </t>
  </si>
  <si>
    <t xml:space="preserve">PROVEEDORES </t>
  </si>
  <si>
    <t xml:space="preserve">fusión impropia </t>
  </si>
  <si>
    <t>vehiculo por fusión impropia</t>
  </si>
  <si>
    <t>Valor de adquisición 31-12-2023</t>
  </si>
  <si>
    <t>EDIFICIO  EN LEASING</t>
  </si>
  <si>
    <t>INGRESOS POR ARRIENDOS</t>
  </si>
  <si>
    <t>ARRIENDO ANTICIPADOS</t>
  </si>
  <si>
    <t>MATERIALES</t>
  </si>
  <si>
    <t xml:space="preserve">GASTO POR VACACIONES </t>
  </si>
  <si>
    <t>provision vacaciones 2023</t>
  </si>
  <si>
    <t xml:space="preserve"> Estado de Situación Financiera Clasificado</t>
  </si>
  <si>
    <t>Estado de Situación Financiera</t>
  </si>
  <si>
    <t>Efectivo y equivalentes al efectivo</t>
  </si>
  <si>
    <t>Otros activos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</si>
  <si>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</si>
  <si>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</si>
  <si>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</si>
  <si>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</si>
  <si>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>Propiedades, Planta y Equipo</t>
  </si>
  <si>
    <t>Patrimonio y pasivos</t>
  </si>
  <si>
    <t>Otros pasivos financieros corrientes</t>
  </si>
  <si>
    <t>Cuentas por pagar comerciales y otras cuentas por pagar</t>
  </si>
  <si>
    <t>Cuentas por Pagar a Entidades Relacionadas, Corriente</t>
  </si>
  <si>
    <t>Pasivos por impuestos corrientes</t>
  </si>
  <si>
    <t xml:space="preserve">Total pasivos corrientes </t>
  </si>
  <si>
    <t>Otros pasivos financieros no corrientes</t>
  </si>
  <si>
    <t>Total pasivos</t>
  </si>
  <si>
    <t>Capital emitido</t>
  </si>
  <si>
    <t>Ganancias (pérdidas) acumuladas</t>
  </si>
  <si>
    <t xml:space="preserve">Estado de Resultados </t>
  </si>
  <si>
    <t>ACUMULADO</t>
  </si>
  <si>
    <t>Estado de resultados</t>
  </si>
  <si>
    <t>Ganancia (pérdida)</t>
  </si>
  <si>
    <t>Ingresos de actividades ordinarias</t>
  </si>
  <si>
    <t>Costo de ventas</t>
  </si>
  <si>
    <t>Ganancia bruta</t>
  </si>
  <si>
    <t>Otros ingresos</t>
  </si>
  <si>
    <t>Costos de distribución</t>
  </si>
  <si>
    <t>Gasto de administración</t>
  </si>
  <si>
    <t>Costos financieros</t>
  </si>
  <si>
    <t xml:space="preserve">Ganancia (pérdida), antes de impuestos </t>
  </si>
  <si>
    <t>Gasto por impuestos a las ganancias</t>
  </si>
  <si>
    <t>FLUJO ORIGINADO POR ACT.DE LA OPERACIÓN</t>
  </si>
  <si>
    <t>pago remuneraciones</t>
  </si>
  <si>
    <t>pago intereses</t>
  </si>
  <si>
    <t>FLUJO NETO ORIGINADO POR ACT. DE FINANCIAMIENTO</t>
  </si>
  <si>
    <t xml:space="preserve"> </t>
  </si>
  <si>
    <t>préstamo banco</t>
  </si>
  <si>
    <t>amortización préstamo</t>
  </si>
  <si>
    <t>FLUJO NETO ORIGINADO POR ACT. DE INVERSION</t>
  </si>
  <si>
    <t>FLUJO NETO TOTAL DEL PERIODO</t>
  </si>
  <si>
    <t>SALDO INICIAL EFECTIVO Y EFECTIVO EQUIVALENTE</t>
  </si>
  <si>
    <t>SALDO FINAL EFECTIVO Y EFECTIVO EQUIVALENTE</t>
  </si>
  <si>
    <t>Acciones en SA</t>
  </si>
  <si>
    <t>Acciones propias en cartera</t>
  </si>
  <si>
    <t>Otras reservas</t>
  </si>
  <si>
    <t>Activos por impuestos diferidos</t>
  </si>
  <si>
    <t>compra de muebles y utiles</t>
  </si>
  <si>
    <t>ok</t>
  </si>
  <si>
    <t>pago de impuestos mensuales</t>
  </si>
  <si>
    <t>pago de imposiciones</t>
  </si>
  <si>
    <t xml:space="preserve">ingreso por ventas </t>
  </si>
  <si>
    <t>pago cuotas de leasing</t>
  </si>
  <si>
    <t>compra de vehiculo</t>
  </si>
  <si>
    <t>gasto de reparación vehículo</t>
  </si>
  <si>
    <t>ingreso por arriendos</t>
  </si>
  <si>
    <t>gasto por seguro</t>
  </si>
  <si>
    <t>venta de vehículo</t>
  </si>
  <si>
    <t>inversión en fondos mutuos</t>
  </si>
  <si>
    <t>pago arriendos anticipados</t>
  </si>
  <si>
    <t>pago de seguros anticipados</t>
  </si>
  <si>
    <t>rescate depósito a plazo</t>
  </si>
  <si>
    <t>pago de remuneraciones</t>
  </si>
  <si>
    <t>ingreso por anticipo de ventas</t>
  </si>
  <si>
    <t>0k</t>
  </si>
  <si>
    <t>amortiza préstmo bancario</t>
  </si>
  <si>
    <t>pago de intereses bancarios</t>
  </si>
  <si>
    <t>compra de materiales</t>
  </si>
  <si>
    <t>pago por fusión impropia</t>
  </si>
  <si>
    <t>ingreso por fusión impropia</t>
  </si>
  <si>
    <t>Ingresos por arriendos</t>
  </si>
  <si>
    <t>Ingresos por ventas</t>
  </si>
  <si>
    <t>Ingresos por anticipo de ventas</t>
  </si>
  <si>
    <t>Venta de vehiculo</t>
  </si>
  <si>
    <t xml:space="preserve">pago de seguros  </t>
  </si>
  <si>
    <t>pago de reparación de vehículo</t>
  </si>
  <si>
    <t>Compra de muebles y útiles</t>
  </si>
  <si>
    <t>Compra de Vehículo</t>
  </si>
  <si>
    <t>pago de cuotas de leasing</t>
  </si>
  <si>
    <t>psago de arriendos anticipados</t>
  </si>
  <si>
    <t>compra de mercaderías</t>
  </si>
  <si>
    <t>pago de acciones</t>
  </si>
  <si>
    <t>pago de dividendos</t>
  </si>
  <si>
    <t>Ingreso por fusión impropia</t>
  </si>
  <si>
    <t>Rescate depósito a plazo</t>
  </si>
  <si>
    <t>Estado de Flujo de Efectivo</t>
  </si>
  <si>
    <t xml:space="preserve"> Egreso por fusión impropia</t>
  </si>
  <si>
    <t>Activos intangilbes por goodwill</t>
  </si>
  <si>
    <t>3,-</t>
  </si>
  <si>
    <t>inversión de fondos mutuos</t>
  </si>
  <si>
    <t>saldo inicial</t>
  </si>
  <si>
    <t>tasa 1%</t>
  </si>
  <si>
    <t>pago cuota leasing de marzo</t>
  </si>
  <si>
    <t>SOCIEDAD YYY SAC AL 31/12/2023  Y TRIBUTA EN EL REGIMEN 14 D 3</t>
  </si>
  <si>
    <t>VENTA DE VEHICULO</t>
  </si>
  <si>
    <t>VENTA DEVEHICULO</t>
  </si>
  <si>
    <t>Determinación de la RLI   Régimen Propyme   del artículo 14 D Nª 3 al 31 de diciembre del 2022</t>
  </si>
  <si>
    <t>$</t>
  </si>
  <si>
    <t xml:space="preserve">ESTADO </t>
  </si>
  <si>
    <t>No Percibido  ó</t>
  </si>
  <si>
    <t>Percibido  ó</t>
  </si>
  <si>
    <t>BASE IMP.</t>
  </si>
  <si>
    <t>RESULTADO</t>
  </si>
  <si>
    <t>No pagado</t>
  </si>
  <si>
    <t>Pagado</t>
  </si>
  <si>
    <t>Ingresos percibidos del giro</t>
  </si>
  <si>
    <t>=</t>
  </si>
  <si>
    <t>Ventas netas año 2022 a entidades NO relacionadas</t>
  </si>
  <si>
    <t>+</t>
  </si>
  <si>
    <t>Ventas netas año 2022 a entidades relacionadas sujetas al régimen pro pyme (art. 14 letra D) N° 3)</t>
  </si>
  <si>
    <t>Cobro facturas emitidas en 2021 no relacionadas y/o 14 D3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</si>
  <si>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</si>
  <si>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</si>
  <si>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</si>
  <si>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</si>
  <si>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Ventas netas año 2022 a entidades relacionadas sujetas al régimen de imputación parcial de créditos (art. 14 letra A))</t>
  </si>
  <si>
    <t>Cobro factura emitida en  2021 empresas relacionadas del artículo 14 letra A</t>
  </si>
  <si>
    <t>Otros ingresos percibidos o devengados</t>
  </si>
  <si>
    <t>Venta de activo fijo</t>
  </si>
  <si>
    <t>Ingresos No Rentas</t>
  </si>
  <si>
    <t>Reajuste PPM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</si>
  <si>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</si>
  <si>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</si>
  <si>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</si>
  <si>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afecto a imptos. Finales sin crédito</t>
  </si>
  <si>
    <t>Dividendo o retiro que es RAP</t>
  </si>
  <si>
    <t>Dividendo o retiro que es REX</t>
  </si>
  <si>
    <t>Dividendo o retiro que es INR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</si>
  <si>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</si>
  <si>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</si>
  <si>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</si>
  <si>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</t>
  </si>
  <si>
    <t>(-)</t>
  </si>
  <si>
    <t>Gasto por saldo inicial de activos fijos depreciables en cambio de régimen</t>
  </si>
  <si>
    <t>Gasto por pérdida tributaria en cambio de régimen</t>
  </si>
  <si>
    <t>Existencias o insumos del negocio</t>
  </si>
  <si>
    <t>Gastos de rentas de fuente extranjera</t>
  </si>
  <si>
    <t>Remuneraciones</t>
  </si>
  <si>
    <t>Honorarios</t>
  </si>
  <si>
    <t>Adquisición de bienes del activo fijo</t>
  </si>
  <si>
    <t>Servicios recibidos</t>
  </si>
  <si>
    <t>Arriendos</t>
  </si>
  <si>
    <t>Gastos por responsabilidad social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</si>
  <si>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</si>
  <si>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</si>
  <si>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</si>
  <si>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</si>
  <si>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LIR pagados</t>
  </si>
  <si>
    <t>Partidas del art. 21 inciso 3° LIR pagados</t>
  </si>
  <si>
    <t>Partidas del art. 21 inc. 1° no afectados con IU 40% LIR pagados</t>
  </si>
  <si>
    <t>Partidas del art. 21 del inc. 2° LIR pagados</t>
  </si>
  <si>
    <t>Pérdida en rescate o enajenación de inversiones o bienes no depreciables</t>
  </si>
  <si>
    <t>Otros gastos deducibles de los ingresos aceptados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</si>
  <si>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</si>
  <si>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</si>
  <si>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</si>
  <si>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Gastos aceptados por donaciones</t>
  </si>
  <si>
    <t xml:space="preserve">Otros gastos no incluidos anteriormente </t>
  </si>
  <si>
    <t>Depreciaciòn del ejercicio</t>
  </si>
  <si>
    <t>Costo de Ventas</t>
  </si>
  <si>
    <t>xxxx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</si>
  <si>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</si>
  <si>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</si>
  <si>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</t>
  </si>
  <si>
    <t>según art. 14 letra A) N°6, de la LIR (si es negativo traslade al código 1440)</t>
  </si>
  <si>
    <t>Incentivo al ahorro según art. 14 letra E) LIR</t>
  </si>
  <si>
    <t>Base del IDPC voluntario según  art. 14 letra A) N°  6 LIR y art. 42 transitorio Ley 21.210</t>
  </si>
  <si>
    <t>Base Imponible afecta a IDPC (o pérdida tributaria antes de imputar dividendos o retiros percibidos) del ejercicio</t>
  </si>
  <si>
    <t>IMPUTACION A LA PERDIDA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</si>
  <si>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</si>
  <si>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</si>
  <si>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</si>
  <si>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IMPUESTO UNICO DEL 30%</t>
  </si>
  <si>
    <t>Renta imponible art 21 inciso 1º</t>
  </si>
  <si>
    <t xml:space="preserve">deduciones </t>
  </si>
  <si>
    <t>ingresos devengados</t>
  </si>
  <si>
    <t>compra de mercadería</t>
  </si>
  <si>
    <t>adquisición activo inmovilizado</t>
  </si>
  <si>
    <t>imposiciones por pagar</t>
  </si>
  <si>
    <t>retenciones por pagar</t>
  </si>
  <si>
    <t>gastos por vacaciones</t>
  </si>
  <si>
    <t>Pérdida</t>
  </si>
  <si>
    <t>venta de vehiculo</t>
  </si>
  <si>
    <t>costo venta venta vehiculo</t>
  </si>
  <si>
    <t>REGISTRO DE RENTAS EMPRESARIALES 2020</t>
  </si>
  <si>
    <t>Topes de crédito</t>
  </si>
  <si>
    <t>SAC</t>
  </si>
  <si>
    <t>ACUMULADAS DESDE 2017</t>
  </si>
  <si>
    <t>HASTA EL 31,12,2016</t>
  </si>
  <si>
    <t>STUT</t>
  </si>
  <si>
    <t>DETALLE</t>
  </si>
  <si>
    <t>INFORMATIVO</t>
  </si>
  <si>
    <t>CONTROL</t>
  </si>
  <si>
    <t>RAI</t>
  </si>
  <si>
    <t>DDAN</t>
  </si>
  <si>
    <t>REX</t>
  </si>
  <si>
    <t>Sin restitución</t>
  </si>
  <si>
    <t>Con restitución</t>
  </si>
  <si>
    <t>Crèdito</t>
  </si>
  <si>
    <t>sin restituciòn</t>
  </si>
  <si>
    <t>acumulada 31.12.2019</t>
  </si>
  <si>
    <t>a contar del 01.01.2020</t>
  </si>
  <si>
    <t>a contar del 01.01.17</t>
  </si>
  <si>
    <t>Asociados a Rentas Exentas (artículo 11, Ley 18.401)</t>
  </si>
  <si>
    <t>IPE</t>
  </si>
  <si>
    <t>Rentas contributación cumplida</t>
  </si>
  <si>
    <t>Rentas exentas</t>
  </si>
  <si>
    <t>Ingresos No Constitutivos de Renta</t>
  </si>
  <si>
    <t>factor</t>
  </si>
  <si>
    <t>TEF</t>
  </si>
  <si>
    <t>Rentas provenientes del registro RAP y diferencia inical de sociedad acogida al ex art.14 ter letrta A) ambos Ley 21210</t>
  </si>
  <si>
    <t>Rentas percibidas Art. 14 letra B Nº 1 y 2       y    Diferencia CPT art. 32 transitorio Ley 21210</t>
  </si>
  <si>
    <t>Exceso Distribuciones Desproporcionadas (N°9 Art.14 A) Ley 21210</t>
  </si>
  <si>
    <t>Utilidades afectadas con impuesto sustitutivo al FUT (ISFUT) Ley N°20.780 y Ley Nº20.899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</si>
  <si>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</si>
  <si>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</si>
  <si>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</si>
  <si>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</si>
  <si>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</si>
  <si>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</si>
  <si>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</si>
  <si>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Saldo al 1 de enero</t>
  </si>
  <si>
    <t>Reajuste anual</t>
  </si>
  <si>
    <t xml:space="preserve">Saldo  al 31 de diciembre </t>
  </si>
  <si>
    <t>Reverso de rentas afectas ejercicio anterior</t>
  </si>
  <si>
    <t>Reverso de DDAN por cambio de régimen</t>
  </si>
  <si>
    <t>Menos IDPC pagado AT 2020 régimen 14 A al 31.12.2019</t>
  </si>
  <si>
    <t>RAI del ejercicio</t>
  </si>
  <si>
    <t>REX percibido</t>
  </si>
  <si>
    <t>REX generado</t>
  </si>
  <si>
    <t>Crédito por IDPC sobre RLI ejercicio</t>
  </si>
  <si>
    <t>Crédito por IDPC sobre dividendos/retiros percibidos</t>
  </si>
  <si>
    <t>Subtotal antes de imputaciones</t>
  </si>
  <si>
    <t>CSD</t>
  </si>
  <si>
    <t>Retiros/remesas/ dividendos del ejercicio</t>
  </si>
  <si>
    <t>CCD</t>
  </si>
  <si>
    <t>enero</t>
  </si>
  <si>
    <t>TOTAL</t>
  </si>
  <si>
    <t>s/a 3</t>
  </si>
  <si>
    <t>FACTOR</t>
  </si>
  <si>
    <t>s/a 4</t>
  </si>
  <si>
    <t>s/a 5</t>
  </si>
  <si>
    <t>s/a 6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</si>
  <si>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</si>
  <si>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</si>
  <si>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</si>
  <si>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</si>
  <si>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</si>
  <si>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</si>
  <si>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</si>
  <si>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</si>
  <si>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</si>
  <si>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</si>
  <si>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</si>
  <si>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Retiros/remesas/ dividendos del ejercicio</t>
  </si>
  <si>
    <t>RETIROS SIN IMPUTAR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</si>
  <si>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</si>
  <si>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</si>
  <si>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</si>
  <si>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</si>
  <si>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</si>
  <si>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</si>
  <si>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Total Retiros/remesas/ dividendos sin imputar</t>
  </si>
  <si>
    <t>AJUSTES AL SAC</t>
  </si>
  <si>
    <t>Partidas del inc.1º no afectas al 40% del art.21 LIR</t>
  </si>
  <si>
    <t>Partidas del inciso segundo del artículo 21 LIR</t>
  </si>
  <si>
    <t>Saldo RAI al 31.12.2020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</si>
  <si>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</si>
  <si>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</si>
  <si>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</si>
  <si>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</si>
  <si>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</si>
  <si>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</si>
  <si>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</si>
  <si>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</si>
  <si>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</si>
  <si>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</si>
  <si>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</si>
  <si>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</si>
  <si>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</si>
  <si>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</si>
  <si>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</si>
  <si>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</si>
  <si>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</si>
  <si>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</si>
  <si>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</si>
  <si>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</si>
  <si>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</si>
  <si>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</si>
  <si>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</si>
  <si>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</si>
  <si>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</si>
  <si>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</si>
  <si>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RECUADRO Nº 18 DETERMINACION DEL RAI</t>
  </si>
  <si>
    <t>Codigo 1545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</si>
  <si>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</si>
  <si>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</si>
  <si>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</si>
  <si>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</si>
  <si>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</si>
  <si>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Saldo FUR  (cuando no haya sido considerado dentro del valor del capital aportado a la empresa)</t>
  </si>
  <si>
    <t>Sobreprecio obtenido en la colocación de acciones de propia emisión, históricos</t>
  </si>
  <si>
    <t xml:space="preserve">Rentas afectas a impuestos global complementario o adicional (RAI) del ejercicio </t>
  </si>
  <si>
    <t>BALANCE GENERAL 8 COLUMNAS</t>
  </si>
  <si>
    <t>Saldos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</si>
  <si>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</si>
  <si>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</si>
  <si>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</si>
  <si>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</si>
  <si>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</si>
  <si>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</si>
  <si>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</si>
  <si>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Pérdidas</t>
  </si>
  <si>
    <t>Ganancias</t>
  </si>
  <si>
    <t>CLIENTES</t>
  </si>
  <si>
    <t>CAMIONETA</t>
  </si>
  <si>
    <t>DEPRECIACION ACUMULADA</t>
  </si>
  <si>
    <t>PROVISION PPM</t>
  </si>
  <si>
    <t>PRESTAMO BANCARIO C/PLAZO</t>
  </si>
  <si>
    <t>CAPITAL</t>
  </si>
  <si>
    <t>VENTAS</t>
  </si>
  <si>
    <t>REAJUSTE PPM ANUAL</t>
  </si>
  <si>
    <t>REAJUSTE IVA CREDITO FISCAL</t>
  </si>
  <si>
    <t>LUZ</t>
  </si>
  <si>
    <t>GAS</t>
  </si>
  <si>
    <t>UTILES OFICINA</t>
  </si>
  <si>
    <t xml:space="preserve">SERVICIOS PROFESIONALES </t>
  </si>
  <si>
    <t>COMISIONES BANCARIAS</t>
  </si>
  <si>
    <t>TELEFONO</t>
  </si>
  <si>
    <t>AGUA</t>
  </si>
  <si>
    <t>INTERNET</t>
  </si>
  <si>
    <t>INTERESES POR PRESTAMOS</t>
  </si>
  <si>
    <t>DEPRECIACION</t>
  </si>
  <si>
    <t>COSTO DE VENTA</t>
  </si>
  <si>
    <t>IDPC</t>
  </si>
  <si>
    <t>Totales Iguales</t>
  </si>
  <si>
    <t>Utilidad del Ejercicio</t>
  </si>
  <si>
    <t>Totales Generales</t>
  </si>
  <si>
    <t>Comprendido entre el 01-01-2023 y 31-12-2023</t>
  </si>
  <si>
    <t>Reajuste PPM y Cfiscal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</si>
  <si>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</si>
  <si>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</si>
  <si>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</si>
  <si>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</si>
  <si>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</si>
  <si>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</si>
  <si>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CRÉDITO DEL 4%</t>
  </si>
  <si>
    <t>ACTIVO FIJO ADQUIRIDO</t>
  </si>
  <si>
    <t>DICIEMBRE</t>
  </si>
  <si>
    <t>MAYO</t>
  </si>
  <si>
    <t>HISTORICO</t>
  </si>
  <si>
    <t>REAJUSTADO</t>
  </si>
  <si>
    <t xml:space="preserve">Dividendos Provisorios </t>
  </si>
  <si>
    <t>1.- DETERMINACIÓN DEL CPF DE LA SOCIEDAD ABSORBIDA  A LA FECHA DE LA FUSIÓN</t>
  </si>
  <si>
    <t xml:space="preserve">MULTAS FISCALES </t>
  </si>
  <si>
    <t>devolucion ppmo</t>
  </si>
  <si>
    <t>Pasivos por impuestos diferidos</t>
  </si>
  <si>
    <t>Devolución ppmo</t>
  </si>
  <si>
    <t>Pago de impuestos mensuales</t>
  </si>
  <si>
    <t>BALANCE GENERAL DEL 1 de Enero al 31 de Diciembre de 2023</t>
  </si>
  <si>
    <t>cancelación de la venta del año 2022</t>
  </si>
  <si>
    <t xml:space="preserve">pago de proveedores del año anterior </t>
  </si>
  <si>
    <t>formulario 29 de septiembre 2023</t>
  </si>
  <si>
    <t>PROVISION PPMO</t>
  </si>
  <si>
    <t>provision ppmo de diciembre 2023</t>
  </si>
  <si>
    <t xml:space="preserve">PROVISION IMPUESTO A LA RENTA </t>
  </si>
  <si>
    <t>ingresos por ventas</t>
  </si>
  <si>
    <t>pago de proveedores</t>
  </si>
  <si>
    <t>pago de impuestos</t>
  </si>
  <si>
    <t>reajuste ppmo del 2023</t>
  </si>
  <si>
    <t>castigo clientes año 2022</t>
  </si>
  <si>
    <t xml:space="preserve">CASTIGO DEUDORES POR VENTAS </t>
  </si>
  <si>
    <t xml:space="preserve">Pago de proveedores </t>
  </si>
  <si>
    <t>pago de dividendos del año 2022</t>
  </si>
  <si>
    <t>pago de acciones suscritas</t>
  </si>
  <si>
    <t>Primas de emisión</t>
  </si>
  <si>
    <t>Otras participaciones en el patrimonio</t>
  </si>
  <si>
    <t>Superávit de Revaluación</t>
  </si>
  <si>
    <t>Reservas por diferencias de cambio por conversión</t>
  </si>
  <si>
    <t>Reservas de coberturas de flujo de caja</t>
  </si>
  <si>
    <t>Reservas de ganancias y pérdidas por planes de beneficios definidos</t>
  </si>
  <si>
    <t>Reservas de ganancias o pérdidas en la remedición de activos financieros disponibles para la venta</t>
  </si>
  <si>
    <t>Incremento (disminución) por cambios en políticas contables</t>
  </si>
  <si>
    <t>Incremento (disminución) por correcciones de errores</t>
  </si>
  <si>
    <t>Saldo Inicial Reexpresado</t>
  </si>
  <si>
    <t>Cambios en patrimonio</t>
  </si>
  <si>
    <t>Resultado Integral</t>
  </si>
  <si>
    <t>Otro resultado integral</t>
  </si>
  <si>
    <t xml:space="preserve">Resultado integral </t>
  </si>
  <si>
    <t>Emisión de patrimonio</t>
  </si>
  <si>
    <t>Dividendos</t>
  </si>
  <si>
    <t>Incremento (disminución) por otras aportaciones de los propietarios</t>
  </si>
  <si>
    <t>Disminución (incremento) por otras distribuciones a los propietarios</t>
  </si>
  <si>
    <t>Incremento (disminución) por transferencias y otros cambios</t>
  </si>
  <si>
    <t>Incremento (disminución) por transacciones de acciones en cartera</t>
  </si>
  <si>
    <t>Incremento (disminución) por cambios en la participación de subsidiarias que no impliquen pérdida de control</t>
  </si>
  <si>
    <t>Total de cambios en patrimonio</t>
  </si>
  <si>
    <t>Saldo Inicial Período Actual 01/01/2023</t>
  </si>
  <si>
    <t>Reserva por IFRS 1ra adopcion</t>
  </si>
  <si>
    <t>Saldo Final Período Actual 31/12/2023</t>
  </si>
  <si>
    <t>Estado de cambios en el patrimonio</t>
  </si>
  <si>
    <t>AL 30/12/2023</t>
  </si>
  <si>
    <t>Determinación de la RLI   Régimen Propyme   del artículo 14 D Nª 3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</si>
  <si>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</si>
  <si>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</si>
  <si>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2022 no relacionadas y/o 14 D3</t>
  </si>
  <si>
    <t>ventas del año</t>
  </si>
  <si>
    <t>pagos del año</t>
  </si>
  <si>
    <t>pagos año anterior</t>
  </si>
  <si>
    <t>castigo cliente</t>
  </si>
  <si>
    <t>por fusion</t>
  </si>
  <si>
    <t>castigos</t>
  </si>
  <si>
    <t>compras año</t>
  </si>
  <si>
    <t>compra año</t>
  </si>
  <si>
    <t>venta año</t>
  </si>
  <si>
    <t>por fusión</t>
  </si>
  <si>
    <t>saldo anterior por mercaderia</t>
  </si>
  <si>
    <t>compras año mercadiera</t>
  </si>
  <si>
    <t>compra materiales</t>
  </si>
  <si>
    <t>pago compra mercaderia año</t>
  </si>
  <si>
    <t>pago mercaderia año anterior</t>
  </si>
  <si>
    <t>MUEBLES</t>
  </si>
  <si>
    <t>compra del año</t>
  </si>
  <si>
    <t>compra del año anterior</t>
  </si>
  <si>
    <t>imposiciones año anterior</t>
  </si>
  <si>
    <t>gasto por vacaciones</t>
  </si>
  <si>
    <t xml:space="preserve">ventas año anterior </t>
  </si>
  <si>
    <t>intereses leasing</t>
  </si>
  <si>
    <t>castigo mercaderia</t>
  </si>
  <si>
    <t>pérdida venta vehiculo</t>
  </si>
  <si>
    <t>compra mercaderia</t>
  </si>
  <si>
    <t>contrato leasing</t>
  </si>
  <si>
    <t>perdida año anterior</t>
  </si>
  <si>
    <t>compra activo inmovilizado</t>
  </si>
  <si>
    <t>utilidad</t>
  </si>
  <si>
    <t>compra de mercaderia</t>
  </si>
  <si>
    <t>retenciones año anterior</t>
  </si>
  <si>
    <t xml:space="preserve">imposiciones año anterior </t>
  </si>
  <si>
    <t>vacaci0ones del personal</t>
  </si>
  <si>
    <t>corresponde a compra del año</t>
  </si>
  <si>
    <t>corresponde a compra de mercadiera</t>
  </si>
  <si>
    <t>REGISTRO DE RENTAS EMPRESARIALES 2023</t>
  </si>
  <si>
    <t>Con restituciòn</t>
  </si>
  <si>
    <t>generadas 01.01.2020</t>
  </si>
  <si>
    <t>asoc a rtas afectas</t>
  </si>
  <si>
    <t>asociadas a rentas exentas</t>
  </si>
  <si>
    <t>asoc a rtas exentas</t>
  </si>
  <si>
    <t>Se retiraan en primer lugar</t>
  </si>
  <si>
    <t>Sin prioridad en orden de imputaciòn</t>
  </si>
  <si>
    <t>Que pueden ser distribuidas en la oportunidad que difine el contribuyente</t>
  </si>
  <si>
    <t xml:space="preserve">Rentas percibidas Art. 14 letra B Nº 1 y 2   </t>
  </si>
  <si>
    <t>Exceso Distribuciones Desproporcionadas deL ISFUT (N°39 TransitorioArt.14 A) Ley 21210</t>
  </si>
  <si>
    <t>IUSCAPT por Diferencia CPT art. 32 transitorio Ley 21210</t>
  </si>
  <si>
    <t xml:space="preserve">Rentas generadas hasta el 31.12.1983 </t>
  </si>
  <si>
    <t>Uutilidades afectadas con impuesto sustitutivo al FUT (ISFUT) LEY N°21.210</t>
  </si>
  <si>
    <t>Crédito por IDPC Voluntario recibido</t>
  </si>
  <si>
    <t>Crédito por impuesto tasa adicional ex tasa artìculo 21 LIR</t>
  </si>
  <si>
    <t>Saldo Inicial</t>
  </si>
  <si>
    <t>Saldos finales del ejercicio anterior</t>
  </si>
  <si>
    <t>Saldos iniciales por cambio de règimen</t>
  </si>
  <si>
    <t>Saldo  reajustado</t>
  </si>
  <si>
    <t>Reclasificaciòn por Impuesto Sustitutivo al FUT</t>
  </si>
  <si>
    <t>Menos IDPC pagado AT 2020 régimen 14 A al 31.12.2019 reajustado</t>
  </si>
  <si>
    <t>Incorporación de rentas productos de una fusión o reorganizaciòn</t>
  </si>
  <si>
    <t>Reajuste de partidas por fusiòn o reorganizaciòn</t>
  </si>
  <si>
    <t xml:space="preserve">Subtotal </t>
  </si>
  <si>
    <t>Rentas Afectas a los impuestos finales</t>
  </si>
  <si>
    <t>DDAN del ejercicio</t>
  </si>
  <si>
    <t>Retiros/remesas/ dividendos del ejercicio en exceso</t>
  </si>
  <si>
    <t>Total Retiros/remesas/ dividendos en exceso</t>
  </si>
  <si>
    <t>Saldo RAI al 31.12.2023</t>
  </si>
  <si>
    <t>Retiros/remesas/ dividendos del ejercicio sin imputar a RRE</t>
  </si>
  <si>
    <t>corresponden a proveedores por compra de mercadería</t>
  </si>
  <si>
    <t>gasto rechazado del artículo 21 inciso 1° no afecto al 40%</t>
  </si>
  <si>
    <t>castigo clientes</t>
  </si>
  <si>
    <t xml:space="preserve">revisar nic </t>
  </si>
  <si>
    <t>castigo de existencia 3,5% sobre mercaderia del negocio</t>
  </si>
  <si>
    <t>merma mercadería del negocio</t>
  </si>
  <si>
    <t xml:space="preserve">pago de acciones suscritas </t>
  </si>
  <si>
    <t xml:space="preserve">FONDOS MUTUOS A MENOS 90 DIAS </t>
  </si>
  <si>
    <t>castgo clientes</t>
  </si>
  <si>
    <t>corresponde a compras del año, saldo inicial era 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</si>
</sst>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&quot;$&quot;#,##0"/>
    <numFmt numFmtId="169" formatCode="#,##0&quot;$&quot;"/>
    <numFmt numFmtId="170" formatCode="_-* #,##0&quot;$&quot;_-;\-* #,##0&quot;$&quot;_-;_-* &quot;-&quot;&quot;$&quot;_-;_-@_-"/>
    <numFmt numFmtId="171" formatCode="_-[$€-2]\ * #,##0.00_-;\-[$€-2]\ * #,##0.00_-;_-[$€-2]\ * &quot;-&quot;??_-"/>
    <numFmt numFmtId="172" formatCode="_-* #,##0.00\ _€_-;\-* #,##0.00\ _€_-;_-* &quot;-&quot;??\ _€_-;_-@_-"/>
    <numFmt numFmtId="173" formatCode="_(* #,##0.00_);_(* \(#,##0.00\);_(* &quot;-&quot;??_);_(@_)"/>
    <numFmt numFmtId="174" formatCode="_-* #,##0.00\ _$_-;\-* #,##0.00\ _$_-;_-* &quot;-&quot;??\ _$_-;_-@_-"/>
    <numFmt numFmtId="175" formatCode="_(* #,##0_);_(* \(#,##0\);_(* &quot;-&quot;??_);_(@_)"/>
    <numFmt numFmtId="176" formatCode="_-&quot;$&quot;* #,##0.00_-;\-&quot;$&quot;* #,##0.00_-;_-&quot;$&quot;* &quot;-&quot;??_-;_-@_-"/>
    <numFmt numFmtId="177" formatCode="_-* #,##0.00\ &quot;€&quot;_-;\-* #,##0.00\ &quot;€&quot;_-;_-* &quot;-&quot;??\ &quot;€&quot;_-;_-@_-"/>
    <numFmt numFmtId="178" formatCode="&quot;$&quot;\ #,##0"/>
    <numFmt numFmtId="179" formatCode="#,##0;[Red]\(#,##0\)"/>
    <numFmt numFmtId="180" formatCode="#,##0.000000"/>
    <numFmt numFmtId="181" formatCode="#,##0.0000000"/>
    <numFmt numFmtId="182" formatCode="#,##0.00000"/>
    <numFmt numFmtId="183" formatCode="_-* #,##0.000000_-;\-* #,##0.000000_-;_-* &quot;-&quot;??_-;_-@_-"/>
    <numFmt numFmtId="184" formatCode="#,##0.00000000"/>
    <numFmt numFmtId="185" formatCode="0.0%"/>
  </numFmts>
  <fonts count="9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name val="Verdana"/>
      <family val="2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134"/>
    </font>
    <font>
      <sz val="10"/>
      <name val="Verdana"/>
      <family val="2"/>
    </font>
    <font>
      <b/>
      <sz val="12"/>
      <name val="Arial"/>
      <family val="2"/>
    </font>
    <font>
      <b/>
      <sz val="7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8"/>
      <color indexed="9"/>
      <name val="Verdana"/>
      <family val="2"/>
    </font>
    <font>
      <b/>
      <sz val="9"/>
      <name val="Verdana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Calibri"/>
      <family val="2"/>
      <scheme val="minor"/>
    </font>
    <font>
      <sz val="12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indexed="30"/>
      <name val="Arial Black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9"/>
      <color indexed="81"/>
      <name val="Tahoma"/>
      <family val="2"/>
    </font>
    <font>
      <i/>
      <sz val="10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706C6C"/>
        <bgColor rgb="FF000000"/>
      </patternFill>
    </fill>
    <fill>
      <patternFill patternType="solid">
        <fgColor rgb="FF26303C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rgb="FF000000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1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2" fillId="2" borderId="0" applyNumberFormat="0" applyBorder="0" applyAlignment="0" applyProtection="0"/>
    <xf numFmtId="42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0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170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9" borderId="40" applyNumberFormat="0" applyAlignment="0" applyProtection="0"/>
    <xf numFmtId="0" fontId="31" fillId="19" borderId="40" applyNumberFormat="0" applyAlignment="0" applyProtection="0"/>
    <xf numFmtId="0" fontId="32" fillId="20" borderId="41" applyNumberFormat="0" applyAlignment="0" applyProtection="0"/>
    <xf numFmtId="0" fontId="33" fillId="20" borderId="41" applyNumberFormat="0" applyAlignment="0" applyProtection="0"/>
    <xf numFmtId="0" fontId="34" fillId="0" borderId="42" applyNumberFormat="0" applyFill="0" applyAlignment="0" applyProtection="0"/>
    <xf numFmtId="0" fontId="35" fillId="8" borderId="0" applyNumberFormat="0" applyBorder="0" applyAlignment="0" applyProtection="0"/>
    <xf numFmtId="0" fontId="36" fillId="0" borderId="43" applyNumberFormat="0" applyFill="0" applyAlignment="0" applyProtection="0"/>
    <xf numFmtId="0" fontId="37" fillId="0" borderId="44" applyNumberFormat="0" applyFill="0" applyAlignment="0" applyProtection="0"/>
    <xf numFmtId="0" fontId="38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4" borderId="0" applyNumberFormat="0" applyBorder="0" applyAlignment="0" applyProtection="0"/>
    <xf numFmtId="0" fontId="40" fillId="11" borderId="4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7" borderId="0" applyNumberFormat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6" fillId="25" borderId="0" applyNumberFormat="0" applyBorder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48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25" borderId="46" applyNumberFormat="0" applyFont="0" applyAlignment="0" applyProtection="0"/>
    <xf numFmtId="0" fontId="3" fillId="25" borderId="46" applyNumberFormat="0" applyFont="0" applyAlignment="0" applyProtection="0"/>
    <xf numFmtId="0" fontId="3" fillId="26" borderId="4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19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44" applyNumberFormat="0" applyFill="0" applyAlignment="0" applyProtection="0"/>
    <xf numFmtId="0" fontId="39" fillId="0" borderId="45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48" applyNumberFormat="0" applyFill="0" applyAlignment="0" applyProtection="0"/>
    <xf numFmtId="0" fontId="10" fillId="0" borderId="0"/>
    <xf numFmtId="0" fontId="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31" fillId="19" borderId="40" applyNumberFormat="0" applyAlignment="0" applyProtection="0"/>
    <xf numFmtId="0" fontId="33" fillId="20" borderId="41" applyNumberFormat="0" applyAlignment="0" applyProtection="0"/>
    <xf numFmtId="0" fontId="34" fillId="0" borderId="42" applyNumberFormat="0" applyFill="0" applyAlignment="0" applyProtection="0"/>
    <xf numFmtId="166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4" borderId="0" applyNumberFormat="0" applyBorder="0" applyAlignment="0" applyProtection="0"/>
    <xf numFmtId="0" fontId="40" fillId="11" borderId="40" applyNumberFormat="0" applyAlignment="0" applyProtection="0"/>
    <xf numFmtId="0" fontId="45" fillId="7" borderId="0" applyNumberFormat="0" applyBorder="0" applyAlignment="0" applyProtection="0"/>
    <xf numFmtId="178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25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3" fillId="26" borderId="46" applyNumberFormat="0" applyFont="0" applyAlignment="0" applyProtection="0"/>
    <xf numFmtId="0" fontId="49" fillId="19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2" fillId="0" borderId="44" applyNumberFormat="0" applyFill="0" applyAlignment="0" applyProtection="0"/>
    <xf numFmtId="0" fontId="39" fillId="0" borderId="45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48" applyNumberFormat="0" applyFill="0" applyAlignment="0" applyProtection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8" fillId="0" borderId="0"/>
    <xf numFmtId="41" fontId="78" fillId="0" borderId="0" applyFont="0" applyFill="0" applyBorder="0" applyAlignment="0" applyProtection="0"/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8" fillId="0" borderId="0" applyBorder="0"/>
    <xf numFmtId="0" fontId="78" fillId="0" borderId="0"/>
    <xf numFmtId="9" fontId="3" fillId="0" borderId="0" applyFont="0" applyFill="0" applyBorder="0" applyAlignment="0" applyProtection="0"/>
    <xf numFmtId="0" fontId="84" fillId="0" borderId="0" applyNumberFormat="0" applyFill="0" applyBorder="0">
      <alignment vertical="center"/>
    </xf>
  </cellStyleXfs>
  <cellXfs count="883">
    <xf numFmtId="0" fontId="0" fillId="0" borderId="0" xfId="0"/>
    <xf numFmtId="3" fontId="5" fillId="0" borderId="0" xfId="3" applyNumberFormat="1" applyFont="1"/>
    <xf numFmtId="3" fontId="6" fillId="0" borderId="0" xfId="3" applyNumberFormat="1" applyFont="1"/>
    <xf numFmtId="3" fontId="8" fillId="0" borderId="0" xfId="3" applyNumberFormat="1" applyFont="1"/>
    <xf numFmtId="0" fontId="0" fillId="0" borderId="0" xfId="0" applyFill="1"/>
    <xf numFmtId="3" fontId="0" fillId="0" borderId="0" xfId="0" applyNumberFormat="1"/>
    <xf numFmtId="0" fontId="6" fillId="0" borderId="0" xfId="3" applyNumberFormat="1" applyFont="1" applyAlignment="1">
      <alignment horizontal="center"/>
    </xf>
    <xf numFmtId="3" fontId="6" fillId="0" borderId="0" xfId="3" applyNumberFormat="1" applyFont="1" applyBorder="1"/>
    <xf numFmtId="3" fontId="6" fillId="0" borderId="0" xfId="3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2" xfId="4" applyFill="1" applyBorder="1"/>
    <xf numFmtId="165" fontId="1" fillId="0" borderId="6" xfId="1" applyNumberFormat="1" applyFont="1" applyFill="1" applyBorder="1"/>
    <xf numFmtId="165" fontId="1" fillId="0" borderId="0" xfId="1" applyNumberFormat="1" applyFont="1" applyFill="1"/>
    <xf numFmtId="165" fontId="1" fillId="0" borderId="7" xfId="1" applyNumberFormat="1" applyFont="1" applyFill="1" applyBorder="1"/>
    <xf numFmtId="165" fontId="1" fillId="0" borderId="2" xfId="1" applyNumberFormat="1" applyFont="1" applyFill="1" applyBorder="1"/>
    <xf numFmtId="0" fontId="11" fillId="0" borderId="0" xfId="0" applyFont="1" applyFill="1" applyAlignment="1">
      <alignment horizontal="right"/>
    </xf>
    <xf numFmtId="165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1" fontId="2" fillId="0" borderId="0" xfId="4" applyNumberFormat="1" applyFont="1" applyFill="1" applyAlignment="1">
      <alignment horizontal="left"/>
    </xf>
    <xf numFmtId="1" fontId="2" fillId="0" borderId="0" xfId="4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1" fontId="11" fillId="0" borderId="0" xfId="0" applyNumberFormat="1" applyFont="1" applyFill="1" applyAlignment="1">
      <alignment horizontal="left"/>
    </xf>
    <xf numFmtId="1" fontId="11" fillId="0" borderId="0" xfId="0" applyNumberFormat="1" applyFont="1" applyAlignment="1">
      <alignment horizontal="left"/>
    </xf>
    <xf numFmtId="0" fontId="2" fillId="0" borderId="0" xfId="4" applyFont="1" applyFill="1" applyAlignment="1">
      <alignment horizontal="right"/>
    </xf>
    <xf numFmtId="0" fontId="0" fillId="0" borderId="11" xfId="0" applyBorder="1"/>
    <xf numFmtId="3" fontId="5" fillId="0" borderId="14" xfId="3" applyNumberFormat="1" applyFont="1" applyBorder="1"/>
    <xf numFmtId="0" fontId="6" fillId="0" borderId="11" xfId="3" applyNumberFormat="1" applyFont="1" applyBorder="1" applyAlignment="1">
      <alignment horizontal="center"/>
    </xf>
    <xf numFmtId="3" fontId="6" fillId="0" borderId="11" xfId="3" applyNumberFormat="1" applyFont="1" applyBorder="1"/>
    <xf numFmtId="3" fontId="6" fillId="0" borderId="11" xfId="3" applyNumberFormat="1" applyFont="1" applyFill="1" applyBorder="1"/>
    <xf numFmtId="0" fontId="6" fillId="0" borderId="25" xfId="3" applyNumberFormat="1" applyFont="1" applyBorder="1" applyAlignment="1">
      <alignment horizontal="center"/>
    </xf>
    <xf numFmtId="3" fontId="6" fillId="0" borderId="25" xfId="3" applyNumberFormat="1" applyFont="1" applyBorder="1"/>
    <xf numFmtId="3" fontId="6" fillId="0" borderId="25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0" fontId="5" fillId="0" borderId="11" xfId="3" applyNumberFormat="1" applyFont="1" applyBorder="1" applyAlignment="1">
      <alignment horizontal="center"/>
    </xf>
    <xf numFmtId="0" fontId="5" fillId="0" borderId="11" xfId="3" applyNumberFormat="1" applyFont="1" applyFill="1" applyBorder="1" applyAlignment="1">
      <alignment horizontal="center"/>
    </xf>
    <xf numFmtId="0" fontId="5" fillId="0" borderId="22" xfId="3" applyNumberFormat="1" applyFont="1" applyBorder="1" applyAlignment="1">
      <alignment horizontal="center"/>
    </xf>
    <xf numFmtId="3" fontId="6" fillId="0" borderId="16" xfId="3" applyNumberFormat="1" applyFont="1" applyFill="1" applyBorder="1"/>
    <xf numFmtId="0" fontId="5" fillId="0" borderId="16" xfId="3" applyNumberFormat="1" applyFont="1" applyBorder="1" applyAlignment="1">
      <alignment horizontal="center"/>
    </xf>
    <xf numFmtId="0" fontId="5" fillId="0" borderId="22" xfId="3" applyNumberFormat="1" applyFont="1" applyFill="1" applyBorder="1" applyAlignment="1">
      <alignment horizontal="center"/>
    </xf>
    <xf numFmtId="0" fontId="5" fillId="0" borderId="16" xfId="3" applyNumberFormat="1" applyFont="1" applyFill="1" applyBorder="1" applyAlignment="1">
      <alignment horizontal="center"/>
    </xf>
    <xf numFmtId="3" fontId="6" fillId="0" borderId="16" xfId="3" applyNumberFormat="1" applyFont="1" applyBorder="1"/>
    <xf numFmtId="42" fontId="6" fillId="0" borderId="20" xfId="3" applyNumberFormat="1" applyFont="1" applyBorder="1"/>
    <xf numFmtId="42" fontId="6" fillId="0" borderId="11" xfId="3" applyNumberFormat="1" applyFont="1" applyBorder="1"/>
    <xf numFmtId="42" fontId="6" fillId="0" borderId="16" xfId="6" applyFont="1" applyBorder="1"/>
    <xf numFmtId="42" fontId="6" fillId="0" borderId="11" xfId="6" applyFont="1" applyFill="1" applyBorder="1"/>
    <xf numFmtId="42" fontId="6" fillId="0" borderId="28" xfId="6" applyFont="1" applyBorder="1"/>
    <xf numFmtId="42" fontId="6" fillId="0" borderId="20" xfId="6" applyFont="1" applyFill="1" applyBorder="1"/>
    <xf numFmtId="42" fontId="6" fillId="0" borderId="16" xfId="6" applyFont="1" applyFill="1" applyBorder="1"/>
    <xf numFmtId="42" fontId="6" fillId="0" borderId="28" xfId="6" applyFont="1" applyFill="1" applyBorder="1"/>
    <xf numFmtId="42" fontId="6" fillId="0" borderId="11" xfId="6" applyFont="1" applyBorder="1"/>
    <xf numFmtId="42" fontId="6" fillId="0" borderId="20" xfId="6" applyFont="1" applyBorder="1"/>
    <xf numFmtId="42" fontId="0" fillId="0" borderId="16" xfId="6" applyFont="1" applyFill="1" applyBorder="1"/>
    <xf numFmtId="0" fontId="0" fillId="0" borderId="0" xfId="0" applyBorder="1"/>
    <xf numFmtId="0" fontId="11" fillId="0" borderId="0" xfId="0" applyFont="1" applyAlignment="1">
      <alignment horizontal="center"/>
    </xf>
    <xf numFmtId="0" fontId="0" fillId="3" borderId="0" xfId="0" applyFill="1"/>
    <xf numFmtId="0" fontId="17" fillId="3" borderId="0" xfId="0" applyFont="1" applyFill="1"/>
    <xf numFmtId="0" fontId="11" fillId="3" borderId="0" xfId="0" applyFont="1" applyFill="1"/>
    <xf numFmtId="0" fontId="0" fillId="3" borderId="11" xfId="0" applyFill="1" applyBorder="1"/>
    <xf numFmtId="3" fontId="0" fillId="3" borderId="11" xfId="0" applyNumberFormat="1" applyFill="1" applyBorder="1"/>
    <xf numFmtId="0" fontId="18" fillId="3" borderId="0" xfId="0" applyFont="1" applyFill="1"/>
    <xf numFmtId="3" fontId="18" fillId="3" borderId="11" xfId="0" applyNumberFormat="1" applyFont="1" applyFill="1" applyBorder="1"/>
    <xf numFmtId="0" fontId="18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9" applyFont="1"/>
    <xf numFmtId="0" fontId="3" fillId="0" borderId="0" xfId="19" applyFont="1"/>
    <xf numFmtId="0" fontId="3" fillId="0" borderId="0" xfId="19" applyFont="1" applyAlignment="1">
      <alignment wrapText="1"/>
    </xf>
    <xf numFmtId="0" fontId="3" fillId="0" borderId="0" xfId="19" applyFont="1" applyAlignment="1">
      <alignment horizontal="center" vertical="center" wrapText="1"/>
    </xf>
    <xf numFmtId="0" fontId="22" fillId="0" borderId="0" xfId="19" applyFont="1"/>
    <xf numFmtId="0" fontId="10" fillId="0" borderId="0" xfId="20"/>
    <xf numFmtId="0" fontId="10" fillId="4" borderId="0" xfId="20" applyFill="1" applyBorder="1"/>
    <xf numFmtId="0" fontId="10" fillId="0" borderId="0" xfId="20" applyBorder="1" applyAlignment="1">
      <alignment vertical="center" wrapText="1"/>
    </xf>
    <xf numFmtId="165" fontId="10" fillId="0" borderId="0" xfId="7" applyNumberFormat="1" applyFont="1" applyBorder="1" applyAlignment="1">
      <alignment vertical="center"/>
    </xf>
    <xf numFmtId="0" fontId="10" fillId="4" borderId="0" xfId="20" applyFill="1" applyBorder="1" applyAlignment="1">
      <alignment horizontal="center" vertical="center" wrapText="1"/>
    </xf>
    <xf numFmtId="0" fontId="10" fillId="0" borderId="0" xfId="20" applyBorder="1" applyAlignment="1">
      <alignment horizontal="center" vertical="center" wrapText="1"/>
    </xf>
    <xf numFmtId="0" fontId="11" fillId="5" borderId="0" xfId="20" applyFont="1" applyFill="1" applyBorder="1" applyAlignment="1">
      <alignment vertical="center" wrapText="1"/>
    </xf>
    <xf numFmtId="0" fontId="10" fillId="0" borderId="0" xfId="20" applyFill="1" applyBorder="1" applyAlignment="1">
      <alignment horizontal="center" vertical="center" wrapText="1"/>
    </xf>
    <xf numFmtId="0" fontId="10" fillId="0" borderId="0" xfId="20" applyAlignment="1">
      <alignment wrapText="1"/>
    </xf>
    <xf numFmtId="0" fontId="0" fillId="0" borderId="0" xfId="20" applyFont="1" applyFill="1" applyBorder="1" applyAlignment="1">
      <alignment horizontal="left" vertical="center" wrapText="1"/>
    </xf>
    <xf numFmtId="165" fontId="10" fillId="0" borderId="0" xfId="7" applyNumberFormat="1" applyFont="1" applyFill="1" applyBorder="1" applyAlignment="1">
      <alignment vertical="center" wrapText="1"/>
    </xf>
    <xf numFmtId="0" fontId="10" fillId="4" borderId="0" xfId="20" applyFill="1" applyBorder="1" applyAlignment="1">
      <alignment horizontal="justify" vertical="center" wrapText="1"/>
    </xf>
    <xf numFmtId="0" fontId="10" fillId="4" borderId="0" xfId="20" applyFill="1" applyBorder="1" applyAlignment="1">
      <alignment wrapText="1"/>
    </xf>
    <xf numFmtId="0" fontId="10" fillId="0" borderId="0" xfId="20" applyFill="1" applyBorder="1" applyAlignment="1">
      <alignment horizontal="left" vertical="center" wrapText="1"/>
    </xf>
    <xf numFmtId="0" fontId="10" fillId="0" borderId="0" xfId="20" applyFill="1" applyBorder="1" applyAlignment="1">
      <alignment vertical="center" wrapText="1"/>
    </xf>
    <xf numFmtId="0" fontId="11" fillId="0" borderId="2" xfId="20" applyFont="1" applyFill="1" applyBorder="1" applyAlignment="1">
      <alignment horizontal="left" vertical="center" wrapText="1"/>
    </xf>
    <xf numFmtId="165" fontId="11" fillId="0" borderId="2" xfId="7" applyNumberFormat="1" applyFont="1" applyFill="1" applyBorder="1" applyAlignment="1">
      <alignment vertical="center" wrapText="1"/>
    </xf>
    <xf numFmtId="165" fontId="11" fillId="0" borderId="0" xfId="7" applyNumberFormat="1" applyFont="1" applyFill="1" applyBorder="1" applyAlignment="1">
      <alignment vertical="center" wrapText="1"/>
    </xf>
    <xf numFmtId="165" fontId="10" fillId="0" borderId="39" xfId="7" applyNumberFormat="1" applyFont="1" applyFill="1" applyBorder="1" applyAlignment="1">
      <alignment vertical="center" wrapText="1"/>
    </xf>
    <xf numFmtId="0" fontId="10" fillId="4" borderId="0" xfId="20" applyFont="1" applyFill="1" applyBorder="1" applyAlignment="1">
      <alignment wrapText="1"/>
    </xf>
    <xf numFmtId="0" fontId="11" fillId="5" borderId="11" xfId="20" applyFont="1" applyFill="1" applyBorder="1" applyAlignment="1">
      <alignment horizontal="left" vertical="center" wrapText="1"/>
    </xf>
    <xf numFmtId="165" fontId="11" fillId="5" borderId="11" xfId="7" applyNumberFormat="1" applyFont="1" applyFill="1" applyBorder="1" applyAlignment="1">
      <alignment vertical="center" wrapText="1"/>
    </xf>
    <xf numFmtId="0" fontId="10" fillId="4" borderId="0" xfId="20" applyFill="1"/>
    <xf numFmtId="0" fontId="10" fillId="0" borderId="0" xfId="20" applyAlignment="1">
      <alignment vertical="center" wrapText="1"/>
    </xf>
    <xf numFmtId="165" fontId="10" fillId="0" borderId="0" xfId="7" applyNumberFormat="1" applyFont="1" applyAlignment="1">
      <alignment vertical="center"/>
    </xf>
    <xf numFmtId="0" fontId="11" fillId="5" borderId="11" xfId="20" applyFont="1" applyFill="1" applyBorder="1" applyAlignment="1">
      <alignment horizontal="center" vertical="center" wrapText="1"/>
    </xf>
    <xf numFmtId="165" fontId="11" fillId="5" borderId="11" xfId="7" applyNumberFormat="1" applyFont="1" applyFill="1" applyBorder="1" applyAlignment="1">
      <alignment horizontal="center" vertical="center"/>
    </xf>
    <xf numFmtId="0" fontId="10" fillId="0" borderId="0" xfId="20" applyAlignment="1">
      <alignment vertical="center"/>
    </xf>
    <xf numFmtId="0" fontId="10" fillId="4" borderId="0" xfId="20" applyFill="1" applyAlignment="1">
      <alignment vertical="center"/>
    </xf>
    <xf numFmtId="0" fontId="0" fillId="0" borderId="11" xfId="20" applyFont="1" applyBorder="1" applyAlignment="1">
      <alignment vertical="center" wrapText="1"/>
    </xf>
    <xf numFmtId="167" fontId="10" fillId="0" borderId="11" xfId="11" applyNumberFormat="1" applyFont="1" applyBorder="1" applyAlignment="1">
      <alignment vertical="center"/>
    </xf>
    <xf numFmtId="167" fontId="10" fillId="4" borderId="11" xfId="11" applyNumberFormat="1" applyFont="1" applyFill="1" applyBorder="1" applyAlignment="1">
      <alignment horizontal="center" vertical="center" wrapText="1"/>
    </xf>
    <xf numFmtId="167" fontId="10" fillId="0" borderId="11" xfId="20" applyNumberFormat="1" applyBorder="1" applyAlignment="1">
      <alignment horizontal="center" vertical="center" wrapText="1"/>
    </xf>
    <xf numFmtId="0" fontId="10" fillId="4" borderId="0" xfId="20" applyFill="1" applyAlignment="1">
      <alignment horizontal="center" vertical="center" wrapText="1"/>
    </xf>
    <xf numFmtId="0" fontId="10" fillId="0" borderId="0" xfId="20" applyAlignment="1">
      <alignment horizontal="center" vertical="center" wrapText="1"/>
    </xf>
    <xf numFmtId="0" fontId="0" fillId="0" borderId="0" xfId="20" applyFont="1" applyFill="1" applyBorder="1" applyAlignment="1">
      <alignment vertical="center" wrapText="1"/>
    </xf>
    <xf numFmtId="42" fontId="0" fillId="0" borderId="0" xfId="6" applyFont="1" applyFill="1" applyBorder="1"/>
    <xf numFmtId="42" fontId="0" fillId="0" borderId="0" xfId="0" applyNumberFormat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68" fontId="0" fillId="0" borderId="35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4" fillId="0" borderId="0" xfId="25" applyFont="1" applyFill="1"/>
    <xf numFmtId="0" fontId="21" fillId="0" borderId="0" xfId="25"/>
    <xf numFmtId="0" fontId="24" fillId="0" borderId="0" xfId="25" applyFont="1"/>
    <xf numFmtId="169" fontId="21" fillId="0" borderId="0" xfId="25" applyNumberFormat="1"/>
    <xf numFmtId="169" fontId="21" fillId="0" borderId="0" xfId="25" applyNumberFormat="1" applyFill="1"/>
    <xf numFmtId="0" fontId="21" fillId="0" borderId="0" xfId="25" applyFill="1"/>
    <xf numFmtId="169" fontId="21" fillId="0" borderId="0" xfId="25" applyNumberFormat="1" applyFont="1" applyFill="1" applyAlignment="1">
      <alignment horizontal="center"/>
    </xf>
    <xf numFmtId="3" fontId="21" fillId="0" borderId="0" xfId="26" applyNumberFormat="1" applyFont="1" applyFill="1"/>
    <xf numFmtId="10" fontId="21" fillId="0" borderId="0" xfId="27" applyNumberFormat="1" applyFont="1" applyFill="1"/>
    <xf numFmtId="3" fontId="21" fillId="0" borderId="0" xfId="25" applyNumberFormat="1" applyFill="1"/>
    <xf numFmtId="0" fontId="21" fillId="0" borderId="0" xfId="25" applyFill="1" applyAlignment="1">
      <alignment horizontal="center"/>
    </xf>
    <xf numFmtId="3" fontId="21" fillId="0" borderId="0" xfId="26" applyNumberFormat="1" applyFont="1" applyFill="1" applyAlignment="1">
      <alignment horizontal="center"/>
    </xf>
    <xf numFmtId="0" fontId="21" fillId="0" borderId="0" xfId="25" applyFont="1"/>
    <xf numFmtId="3" fontId="21" fillId="0" borderId="0" xfId="25" applyNumberFormat="1"/>
    <xf numFmtId="3" fontId="21" fillId="0" borderId="0" xfId="26" applyNumberFormat="1" applyFont="1"/>
    <xf numFmtId="169" fontId="21" fillId="0" borderId="0" xfId="25" applyNumberFormat="1" applyFont="1"/>
    <xf numFmtId="0" fontId="26" fillId="0" borderId="0" xfId="0" applyFont="1"/>
    <xf numFmtId="0" fontId="27" fillId="0" borderId="0" xfId="0" applyFont="1"/>
    <xf numFmtId="42" fontId="1" fillId="0" borderId="11" xfId="6" applyFont="1" applyFill="1" applyBorder="1" applyAlignment="1" applyProtection="1"/>
    <xf numFmtId="42" fontId="2" fillId="0" borderId="11" xfId="6" applyFont="1" applyFill="1" applyBorder="1" applyAlignment="1" applyProtection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42" fontId="0" fillId="0" borderId="11" xfId="0" applyNumberFormat="1" applyBorder="1"/>
    <xf numFmtId="42" fontId="11" fillId="0" borderId="11" xfId="0" applyNumberFormat="1" applyFont="1" applyBorder="1"/>
    <xf numFmtId="0" fontId="5" fillId="0" borderId="35" xfId="3" applyNumberFormat="1" applyFont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35" xfId="0" applyFill="1" applyBorder="1"/>
    <xf numFmtId="0" fontId="0" fillId="3" borderId="17" xfId="0" applyFill="1" applyBorder="1" applyAlignment="1">
      <alignment horizontal="center"/>
    </xf>
    <xf numFmtId="0" fontId="18" fillId="3" borderId="18" xfId="0" applyFont="1" applyFill="1" applyBorder="1"/>
    <xf numFmtId="3" fontId="18" fillId="3" borderId="20" xfId="0" applyNumberFormat="1" applyFont="1" applyFill="1" applyBorder="1"/>
    <xf numFmtId="0" fontId="0" fillId="3" borderId="21" xfId="0" applyFill="1" applyBorder="1" applyAlignment="1">
      <alignment horizontal="center"/>
    </xf>
    <xf numFmtId="0" fontId="11" fillId="3" borderId="22" xfId="0" applyFont="1" applyFill="1" applyBorder="1"/>
    <xf numFmtId="3" fontId="18" fillId="3" borderId="22" xfId="0" applyNumberFormat="1" applyFont="1" applyFill="1" applyBorder="1"/>
    <xf numFmtId="3" fontId="18" fillId="3" borderId="23" xfId="0" applyNumberFormat="1" applyFont="1" applyFill="1" applyBorder="1"/>
    <xf numFmtId="3" fontId="5" fillId="0" borderId="0" xfId="3" applyNumberFormat="1" applyFont="1" applyFill="1" applyBorder="1"/>
    <xf numFmtId="3" fontId="5" fillId="0" borderId="12" xfId="3" applyNumberFormat="1" applyFont="1" applyFill="1" applyBorder="1"/>
    <xf numFmtId="0" fontId="5" fillId="0" borderId="24" xfId="3" applyNumberFormat="1" applyFont="1" applyBorder="1" applyAlignment="1">
      <alignment horizontal="center"/>
    </xf>
    <xf numFmtId="3" fontId="6" fillId="0" borderId="25" xfId="3" applyNumberFormat="1" applyFont="1" applyFill="1" applyBorder="1"/>
    <xf numFmtId="42" fontId="6" fillId="0" borderId="25" xfId="6" applyFont="1" applyFill="1" applyBorder="1"/>
    <xf numFmtId="42" fontId="6" fillId="0" borderId="26" xfId="6" applyFont="1" applyFill="1" applyBorder="1"/>
    <xf numFmtId="0" fontId="5" fillId="0" borderId="27" xfId="3" applyNumberFormat="1" applyFont="1" applyBorder="1" applyAlignment="1">
      <alignment horizontal="center"/>
    </xf>
    <xf numFmtId="0" fontId="5" fillId="0" borderId="51" xfId="3" applyNumberFormat="1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5" fillId="0" borderId="53" xfId="3" applyNumberFormat="1" applyFont="1" applyBorder="1" applyAlignment="1">
      <alignment horizontal="center"/>
    </xf>
    <xf numFmtId="0" fontId="5" fillId="0" borderId="19" xfId="3" applyNumberFormat="1" applyFont="1" applyBorder="1" applyAlignment="1">
      <alignment horizontal="center"/>
    </xf>
    <xf numFmtId="0" fontId="5" fillId="0" borderId="21" xfId="3" applyNumberFormat="1" applyFont="1" applyBorder="1" applyAlignment="1">
      <alignment horizontal="center"/>
    </xf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0" fontId="5" fillId="0" borderId="49" xfId="3" applyNumberFormat="1" applyFont="1" applyBorder="1" applyAlignment="1">
      <alignment horizontal="center"/>
    </xf>
    <xf numFmtId="3" fontId="6" fillId="0" borderId="35" xfId="3" applyNumberFormat="1" applyFont="1" applyFill="1" applyBorder="1"/>
    <xf numFmtId="42" fontId="6" fillId="0" borderId="35" xfId="6" applyFont="1" applyFill="1" applyBorder="1"/>
    <xf numFmtId="42" fontId="6" fillId="0" borderId="55" xfId="6" applyFont="1" applyFill="1" applyBorder="1"/>
    <xf numFmtId="17" fontId="21" fillId="0" borderId="0" xfId="25" applyNumberFormat="1" applyFont="1"/>
    <xf numFmtId="0" fontId="5" fillId="0" borderId="29" xfId="3" applyNumberFormat="1" applyFont="1" applyBorder="1" applyAlignment="1">
      <alignment horizontal="center"/>
    </xf>
    <xf numFmtId="3" fontId="6" fillId="0" borderId="22" xfId="3" applyNumberFormat="1" applyFont="1" applyFill="1" applyBorder="1"/>
    <xf numFmtId="42" fontId="6" fillId="0" borderId="22" xfId="6" applyFont="1" applyFill="1" applyBorder="1"/>
    <xf numFmtId="42" fontId="6" fillId="0" borderId="23" xfId="6" applyFont="1" applyFill="1" applyBorder="1"/>
    <xf numFmtId="3" fontId="3" fillId="0" borderId="35" xfId="3" applyNumberFormat="1" applyFont="1" applyFill="1" applyBorder="1"/>
    <xf numFmtId="3" fontId="3" fillId="0" borderId="56" xfId="3" applyNumberFormat="1" applyFont="1" applyFill="1" applyBorder="1"/>
    <xf numFmtId="3" fontId="6" fillId="0" borderId="18" xfId="3" applyNumberFormat="1" applyFont="1" applyBorder="1"/>
    <xf numFmtId="3" fontId="6" fillId="0" borderId="13" xfId="3" applyNumberFormat="1" applyFont="1" applyBorder="1"/>
    <xf numFmtId="3" fontId="3" fillId="0" borderId="11" xfId="3" applyNumberFormat="1" applyFont="1" applyFill="1" applyBorder="1"/>
    <xf numFmtId="3" fontId="3" fillId="0" borderId="25" xfId="3" applyNumberFormat="1" applyFont="1" applyFill="1" applyBorder="1"/>
    <xf numFmtId="3" fontId="6" fillId="0" borderId="26" xfId="3" applyNumberFormat="1" applyFont="1" applyFill="1" applyBorder="1"/>
    <xf numFmtId="3" fontId="6" fillId="0" borderId="20" xfId="3" applyNumberFormat="1" applyFont="1" applyFill="1" applyBorder="1"/>
    <xf numFmtId="3" fontId="6" fillId="0" borderId="11" xfId="3" applyNumberFormat="1" applyFont="1" applyFill="1" applyBorder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25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3" fontId="6" fillId="0" borderId="11" xfId="3" applyNumberFormat="1" applyFont="1" applyBorder="1" applyAlignment="1">
      <alignment horizontal="right"/>
    </xf>
    <xf numFmtId="3" fontId="5" fillId="0" borderId="16" xfId="3" applyNumberFormat="1" applyFont="1" applyBorder="1" applyAlignment="1">
      <alignment horizontal="right"/>
    </xf>
    <xf numFmtId="3" fontId="5" fillId="0" borderId="16" xfId="3" applyNumberFormat="1" applyFont="1" applyFill="1" applyBorder="1" applyAlignment="1">
      <alignment horizontal="right"/>
    </xf>
    <xf numFmtId="3" fontId="5" fillId="0" borderId="25" xfId="3" applyNumberFormat="1" applyFont="1" applyFill="1" applyBorder="1" applyAlignment="1">
      <alignment horizontal="right"/>
    </xf>
    <xf numFmtId="3" fontId="6" fillId="0" borderId="16" xfId="3" applyNumberFormat="1" applyFont="1" applyFill="1" applyBorder="1" applyAlignment="1">
      <alignment horizontal="right"/>
    </xf>
    <xf numFmtId="3" fontId="6" fillId="0" borderId="25" xfId="3" applyNumberFormat="1" applyFont="1" applyFill="1" applyBorder="1" applyAlignment="1">
      <alignment horizontal="right"/>
    </xf>
    <xf numFmtId="3" fontId="5" fillId="0" borderId="22" xfId="3" applyNumberFormat="1" applyFont="1" applyFill="1" applyBorder="1" applyAlignment="1">
      <alignment horizontal="right"/>
    </xf>
    <xf numFmtId="3" fontId="6" fillId="0" borderId="35" xfId="3" applyNumberFormat="1" applyFont="1" applyFill="1" applyBorder="1" applyAlignment="1">
      <alignment horizontal="right"/>
    </xf>
    <xf numFmtId="3" fontId="3" fillId="0" borderId="56" xfId="3" applyNumberFormat="1" applyFont="1" applyFill="1" applyBorder="1" applyAlignment="1">
      <alignment horizontal="right"/>
    </xf>
    <xf numFmtId="3" fontId="3" fillId="0" borderId="35" xfId="3" applyNumberFormat="1" applyFont="1" applyFill="1" applyBorder="1" applyAlignment="1">
      <alignment horizontal="right"/>
    </xf>
    <xf numFmtId="3" fontId="6" fillId="0" borderId="22" xfId="3" applyNumberFormat="1" applyFont="1" applyFill="1" applyBorder="1" applyAlignment="1">
      <alignment horizontal="right"/>
    </xf>
    <xf numFmtId="3" fontId="6" fillId="0" borderId="18" xfId="3" applyNumberFormat="1" applyFont="1" applyBorder="1" applyAlignment="1">
      <alignment horizontal="right"/>
    </xf>
    <xf numFmtId="3" fontId="3" fillId="0" borderId="25" xfId="3" applyNumberFormat="1" applyFont="1" applyFill="1" applyBorder="1" applyAlignment="1">
      <alignment horizontal="right"/>
    </xf>
    <xf numFmtId="3" fontId="3" fillId="0" borderId="11" xfId="3" applyNumberFormat="1" applyFont="1" applyFill="1" applyBorder="1" applyAlignment="1">
      <alignment horizontal="right"/>
    </xf>
    <xf numFmtId="3" fontId="5" fillId="0" borderId="15" xfId="3" applyNumberFormat="1" applyFont="1" applyBorder="1" applyAlignment="1">
      <alignment horizontal="right"/>
    </xf>
    <xf numFmtId="0" fontId="10" fillId="0" borderId="0" xfId="152"/>
    <xf numFmtId="0" fontId="54" fillId="27" borderId="17" xfId="5" applyFont="1" applyFill="1" applyBorder="1" applyAlignment="1">
      <alignment vertical="center"/>
    </xf>
    <xf numFmtId="14" fontId="54" fillId="27" borderId="57" xfId="5" applyNumberFormat="1" applyFont="1" applyFill="1" applyBorder="1" applyAlignment="1">
      <alignment horizontal="center" vertical="center"/>
    </xf>
    <xf numFmtId="0" fontId="54" fillId="27" borderId="28" xfId="5" applyFont="1" applyFill="1" applyBorder="1" applyAlignment="1">
      <alignment horizontal="center" vertical="center"/>
    </xf>
    <xf numFmtId="0" fontId="13" fillId="28" borderId="59" xfId="152" applyFont="1" applyFill="1" applyBorder="1" applyAlignment="1">
      <alignment vertical="center"/>
    </xf>
    <xf numFmtId="0" fontId="14" fillId="28" borderId="36" xfId="152" applyFont="1" applyFill="1" applyBorder="1" applyAlignment="1">
      <alignment horizontal="center" vertical="center"/>
    </xf>
    <xf numFmtId="0" fontId="13" fillId="28" borderId="10" xfId="152" applyFont="1" applyFill="1" applyBorder="1" applyAlignment="1">
      <alignment horizontal="left" vertical="center" indent="1"/>
    </xf>
    <xf numFmtId="0" fontId="14" fillId="28" borderId="12" xfId="152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2"/>
    </xf>
    <xf numFmtId="0" fontId="14" fillId="28" borderId="10" xfId="152" applyFont="1" applyFill="1" applyBorder="1" applyAlignment="1">
      <alignment horizontal="left" vertical="center" indent="4"/>
    </xf>
    <xf numFmtId="3" fontId="14" fillId="0" borderId="20" xfId="152" applyNumberFormat="1" applyFont="1" applyFill="1" applyBorder="1" applyAlignment="1" applyProtection="1">
      <alignment horizontal="center" vertical="center"/>
      <protection locked="0"/>
    </xf>
    <xf numFmtId="3" fontId="10" fillId="0" borderId="0" xfId="152" applyNumberFormat="1"/>
    <xf numFmtId="0" fontId="13" fillId="28" borderId="10" xfId="152" applyFont="1" applyFill="1" applyBorder="1" applyAlignment="1" applyProtection="1">
      <alignment horizontal="left" vertical="center" wrapText="1" indent="3"/>
    </xf>
    <xf numFmtId="3" fontId="13" fillId="28" borderId="20" xfId="152" applyNumberFormat="1" applyFont="1" applyFill="1" applyBorder="1" applyAlignment="1">
      <alignment horizontal="center" vertical="center"/>
    </xf>
    <xf numFmtId="0" fontId="14" fillId="28" borderId="10" xfId="152" applyFont="1" applyFill="1" applyBorder="1" applyAlignment="1" applyProtection="1">
      <alignment horizontal="left" vertical="center" wrapText="1" indent="3"/>
    </xf>
    <xf numFmtId="0" fontId="55" fillId="28" borderId="10" xfId="152" applyFont="1" applyFill="1" applyBorder="1" applyAlignment="1" applyProtection="1">
      <alignment horizontal="left" vertical="center" wrapText="1" indent="2"/>
    </xf>
    <xf numFmtId="3" fontId="55" fillId="28" borderId="20" xfId="152" applyNumberFormat="1" applyFont="1" applyFill="1" applyBorder="1" applyAlignment="1">
      <alignment horizontal="center" vertical="center"/>
    </xf>
    <xf numFmtId="3" fontId="55" fillId="28" borderId="12" xfId="152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1"/>
    </xf>
    <xf numFmtId="0" fontId="55" fillId="28" borderId="14" xfId="152" applyFont="1" applyFill="1" applyBorder="1" applyAlignment="1" applyProtection="1">
      <alignment horizontal="left" vertical="center" wrapText="1" indent="2"/>
    </xf>
    <xf numFmtId="3" fontId="55" fillId="28" borderId="23" xfId="152" applyNumberFormat="1" applyFont="1" applyFill="1" applyBorder="1" applyAlignment="1">
      <alignment horizontal="center" vertical="center"/>
    </xf>
    <xf numFmtId="0" fontId="14" fillId="0" borderId="0" xfId="152" applyFont="1" applyBorder="1" applyAlignment="1">
      <alignment vertical="center"/>
    </xf>
    <xf numFmtId="0" fontId="9" fillId="3" borderId="0" xfId="153" applyFont="1" applyFill="1" applyAlignment="1">
      <alignment horizontal="center"/>
    </xf>
    <xf numFmtId="0" fontId="54" fillId="27" borderId="17" xfId="5" applyFont="1" applyFill="1" applyBorder="1" applyAlignment="1">
      <alignment vertical="center" wrapText="1"/>
    </xf>
    <xf numFmtId="0" fontId="54" fillId="27" borderId="18" xfId="5" applyFont="1" applyFill="1" applyBorder="1" applyAlignment="1">
      <alignment vertical="center"/>
    </xf>
    <xf numFmtId="0" fontId="54" fillId="27" borderId="60" xfId="5" applyFont="1" applyFill="1" applyBorder="1" applyAlignment="1">
      <alignment horizontal="center" vertical="center"/>
    </xf>
    <xf numFmtId="0" fontId="54" fillId="27" borderId="10" xfId="5" applyFont="1" applyFill="1" applyBorder="1" applyAlignment="1">
      <alignment vertical="center" wrapText="1"/>
    </xf>
    <xf numFmtId="14" fontId="54" fillId="27" borderId="55" xfId="5" applyNumberFormat="1" applyFont="1" applyFill="1" applyBorder="1" applyAlignment="1">
      <alignment horizontal="center" vertical="center"/>
    </xf>
    <xf numFmtId="0" fontId="54" fillId="27" borderId="58" xfId="5" applyFont="1" applyFill="1" applyBorder="1" applyAlignment="1">
      <alignment vertical="center" wrapText="1"/>
    </xf>
    <xf numFmtId="0" fontId="54" fillId="27" borderId="2" xfId="5" applyFont="1" applyFill="1" applyBorder="1" applyAlignment="1">
      <alignment vertical="center"/>
    </xf>
    <xf numFmtId="14" fontId="54" fillId="27" borderId="28" xfId="5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/>
    </xf>
    <xf numFmtId="0" fontId="13" fillId="28" borderId="0" xfId="152" applyFont="1" applyFill="1" applyBorder="1" applyAlignment="1" applyProtection="1">
      <alignment horizontal="left" vertical="center" wrapText="1"/>
    </xf>
    <xf numFmtId="0" fontId="14" fillId="28" borderId="12" xfId="152" applyFont="1" applyFill="1" applyBorder="1" applyAlignment="1" applyProtection="1">
      <alignment horizontal="right" vertical="center" indent="1"/>
    </xf>
    <xf numFmtId="0" fontId="13" fillId="28" borderId="0" xfId="152" applyFont="1" applyFill="1" applyBorder="1" applyAlignment="1" applyProtection="1">
      <alignment horizontal="left" vertical="center" wrapText="1" indent="1"/>
    </xf>
    <xf numFmtId="0" fontId="14" fillId="28" borderId="10" xfId="152" applyFont="1" applyFill="1" applyBorder="1" applyAlignment="1" applyProtection="1">
      <alignment horizontal="left" vertical="center" wrapText="1"/>
    </xf>
    <xf numFmtId="0" fontId="14" fillId="28" borderId="0" xfId="152" applyFont="1" applyFill="1" applyBorder="1" applyAlignment="1" applyProtection="1">
      <alignment horizontal="left" vertical="center" wrapText="1" indent="2"/>
    </xf>
    <xf numFmtId="3" fontId="14" fillId="0" borderId="20" xfId="152" applyNumberFormat="1" applyFont="1" applyFill="1" applyBorder="1" applyAlignment="1" applyProtection="1">
      <alignment vertical="center"/>
      <protection locked="0"/>
    </xf>
    <xf numFmtId="0" fontId="14" fillId="0" borderId="0" xfId="152" applyFont="1" applyFill="1" applyBorder="1" applyAlignment="1" applyProtection="1">
      <alignment vertical="center"/>
      <protection locked="0"/>
    </xf>
    <xf numFmtId="0" fontId="13" fillId="28" borderId="0" xfId="152" applyFont="1" applyFill="1" applyBorder="1" applyAlignment="1" applyProtection="1">
      <alignment horizontal="left" vertical="center" wrapText="1" indent="2"/>
    </xf>
    <xf numFmtId="3" fontId="13" fillId="28" borderId="20" xfId="152" applyNumberFormat="1" applyFont="1" applyFill="1" applyBorder="1" applyAlignment="1">
      <alignment vertical="center"/>
    </xf>
    <xf numFmtId="0" fontId="55" fillId="28" borderId="0" xfId="152" applyFont="1" applyFill="1" applyBorder="1" applyAlignment="1" applyProtection="1">
      <alignment horizontal="left" vertical="center" wrapText="1" indent="2"/>
    </xf>
    <xf numFmtId="3" fontId="55" fillId="28" borderId="20" xfId="152" applyNumberFormat="1" applyFont="1" applyFill="1" applyBorder="1" applyAlignment="1">
      <alignment vertical="center"/>
    </xf>
    <xf numFmtId="0" fontId="14" fillId="28" borderId="14" xfId="152" applyFont="1" applyFill="1" applyBorder="1" applyAlignment="1" applyProtection="1">
      <alignment horizontal="left" vertical="center" wrapText="1"/>
    </xf>
    <xf numFmtId="0" fontId="55" fillId="28" borderId="15" xfId="152" applyFont="1" applyFill="1" applyBorder="1" applyAlignment="1" applyProtection="1">
      <alignment horizontal="left" vertical="center" wrapText="1" indent="2"/>
    </xf>
    <xf numFmtId="3" fontId="55" fillId="28" borderId="23" xfId="152" applyNumberFormat="1" applyFont="1" applyFill="1" applyBorder="1" applyAlignment="1">
      <alignment vertical="center"/>
    </xf>
    <xf numFmtId="0" fontId="1" fillId="0" borderId="0" xfId="4"/>
    <xf numFmtId="165" fontId="1" fillId="0" borderId="0" xfId="210" applyNumberFormat="1" applyFont="1"/>
    <xf numFmtId="165" fontId="1" fillId="0" borderId="0" xfId="4" applyNumberFormat="1"/>
    <xf numFmtId="0" fontId="15" fillId="0" borderId="0" xfId="4" applyFont="1"/>
    <xf numFmtId="165" fontId="59" fillId="0" borderId="6" xfId="1" applyNumberFormat="1" applyFont="1" applyFill="1" applyBorder="1"/>
    <xf numFmtId="165" fontId="59" fillId="0" borderId="0" xfId="1" applyNumberFormat="1" applyFont="1" applyFill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3" fontId="5" fillId="0" borderId="54" xfId="3" applyNumberFormat="1" applyFont="1" applyFill="1" applyBorder="1"/>
    <xf numFmtId="3" fontId="5" fillId="0" borderId="15" xfId="3" applyNumberFormat="1" applyFont="1" applyFill="1" applyBorder="1"/>
    <xf numFmtId="3" fontId="5" fillId="0" borderId="9" xfId="3" applyNumberFormat="1" applyFont="1" applyFill="1" applyBorder="1"/>
    <xf numFmtId="0" fontId="54" fillId="27" borderId="17" xfId="5" applyFont="1" applyFill="1" applyBorder="1" applyAlignment="1">
      <alignment horizontal="left" vertical="center"/>
    </xf>
    <xf numFmtId="0" fontId="54" fillId="27" borderId="58" xfId="5" applyFont="1" applyFill="1" applyBorder="1" applyAlignment="1">
      <alignment horizontal="left" vertical="center"/>
    </xf>
    <xf numFmtId="17" fontId="21" fillId="29" borderId="0" xfId="25" applyNumberFormat="1" applyFont="1" applyFill="1"/>
    <xf numFmtId="0" fontId="21" fillId="29" borderId="0" xfId="25" applyFill="1"/>
    <xf numFmtId="3" fontId="21" fillId="29" borderId="0" xfId="25" applyNumberFormat="1" applyFill="1"/>
    <xf numFmtId="3" fontId="21" fillId="29" borderId="0" xfId="26" applyNumberFormat="1" applyFont="1" applyFill="1"/>
    <xf numFmtId="3" fontId="6" fillId="0" borderId="26" xfId="3" applyNumberFormat="1" applyFont="1" applyBorder="1"/>
    <xf numFmtId="0" fontId="0" fillId="0" borderId="0" xfId="0" applyFont="1" applyBorder="1"/>
    <xf numFmtId="0" fontId="0" fillId="0" borderId="0" xfId="0" applyFont="1"/>
    <xf numFmtId="0" fontId="61" fillId="0" borderId="0" xfId="0" applyFont="1"/>
    <xf numFmtId="0" fontId="61" fillId="3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10" xfId="0" applyFont="1" applyFill="1" applyBorder="1"/>
    <xf numFmtId="0" fontId="62" fillId="5" borderId="17" xfId="0" applyFont="1" applyFill="1" applyBorder="1" applyAlignment="1">
      <alignment horizontal="left" vertical="center"/>
    </xf>
    <xf numFmtId="0" fontId="63" fillId="5" borderId="18" xfId="0" applyFont="1" applyFill="1" applyBorder="1" applyAlignment="1">
      <alignment horizontal="left" vertical="center"/>
    </xf>
    <xf numFmtId="0" fontId="62" fillId="30" borderId="18" xfId="0" applyFont="1" applyFill="1" applyBorder="1" applyAlignment="1">
      <alignment horizontal="center" vertical="center"/>
    </xf>
    <xf numFmtId="0" fontId="62" fillId="5" borderId="18" xfId="0" applyFont="1" applyFill="1" applyBorder="1" applyAlignment="1">
      <alignment horizontal="center" vertical="center"/>
    </xf>
    <xf numFmtId="0" fontId="62" fillId="29" borderId="13" xfId="0" applyFont="1" applyFill="1" applyBorder="1" applyAlignment="1">
      <alignment horizontal="center" vertical="center"/>
    </xf>
    <xf numFmtId="0" fontId="62" fillId="5" borderId="1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62" fillId="30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62" fillId="29" borderId="12" xfId="0" applyFont="1" applyFill="1" applyBorder="1" applyAlignment="1">
      <alignment horizontal="center" vertical="center"/>
    </xf>
    <xf numFmtId="179" fontId="64" fillId="0" borderId="24" xfId="0" applyNumberFormat="1" applyFont="1" applyFill="1" applyBorder="1" applyAlignment="1">
      <alignment horizontal="left" vertical="center"/>
    </xf>
    <xf numFmtId="179" fontId="65" fillId="0" borderId="25" xfId="0" applyNumberFormat="1" applyFont="1" applyFill="1" applyBorder="1" applyAlignment="1">
      <alignment horizontal="center" vertical="center"/>
    </xf>
    <xf numFmtId="179" fontId="65" fillId="30" borderId="25" xfId="0" applyNumberFormat="1" applyFont="1" applyFill="1" applyBorder="1" applyAlignment="1">
      <alignment horizontal="center" vertical="center"/>
    </xf>
    <xf numFmtId="179" fontId="65" fillId="0" borderId="65" xfId="0" applyNumberFormat="1" applyFont="1" applyFill="1" applyBorder="1" applyAlignment="1">
      <alignment horizontal="center" vertical="center"/>
    </xf>
    <xf numFmtId="179" fontId="65" fillId="29" borderId="61" xfId="0" applyNumberFormat="1" applyFont="1" applyFill="1" applyBorder="1" applyAlignment="1">
      <alignment horizontal="center" vertical="center"/>
    </xf>
    <xf numFmtId="0" fontId="61" fillId="0" borderId="19" xfId="0" applyFont="1" applyBorder="1" applyAlignment="1">
      <alignment horizontal="left" indent="4"/>
    </xf>
    <xf numFmtId="179" fontId="65" fillId="0" borderId="11" xfId="0" applyNumberFormat="1" applyFont="1" applyFill="1" applyBorder="1" applyAlignment="1">
      <alignment horizontal="center" vertical="center"/>
    </xf>
    <xf numFmtId="179" fontId="66" fillId="30" borderId="11" xfId="0" applyNumberFormat="1" applyFont="1" applyFill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" fontId="0" fillId="29" borderId="62" xfId="0" applyNumberFormat="1" applyFont="1" applyFill="1" applyBorder="1" applyAlignment="1">
      <alignment horizontal="center"/>
    </xf>
    <xf numFmtId="0" fontId="61" fillId="0" borderId="21" xfId="0" applyFont="1" applyBorder="1" applyAlignment="1">
      <alignment horizontal="left" indent="4"/>
    </xf>
    <xf numFmtId="179" fontId="65" fillId="0" borderId="22" xfId="0" applyNumberFormat="1" applyFont="1" applyFill="1" applyBorder="1" applyAlignment="1">
      <alignment horizontal="center" vertical="center"/>
    </xf>
    <xf numFmtId="179" fontId="66" fillId="30" borderId="22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3" fontId="0" fillId="29" borderId="63" xfId="0" applyNumberFormat="1" applyFont="1" applyFill="1" applyBorder="1" applyAlignment="1">
      <alignment horizontal="center"/>
    </xf>
    <xf numFmtId="179" fontId="64" fillId="0" borderId="27" xfId="0" applyNumberFormat="1" applyFont="1" applyFill="1" applyBorder="1" applyAlignment="1">
      <alignment horizontal="left" vertical="center"/>
    </xf>
    <xf numFmtId="179" fontId="65" fillId="0" borderId="16" xfId="0" applyNumberFormat="1" applyFont="1" applyFill="1" applyBorder="1" applyAlignment="1">
      <alignment horizontal="center" vertical="center"/>
    </xf>
    <xf numFmtId="179" fontId="65" fillId="30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29" borderId="68" xfId="0" applyFont="1" applyFill="1" applyBorder="1" applyAlignment="1">
      <alignment horizontal="center"/>
    </xf>
    <xf numFmtId="179" fontId="64" fillId="0" borderId="19" xfId="0" applyNumberFormat="1" applyFont="1" applyFill="1" applyBorder="1" applyAlignment="1">
      <alignment vertical="center"/>
    </xf>
    <xf numFmtId="0" fontId="0" fillId="0" borderId="11" xfId="0" applyFont="1" applyBorder="1" applyAlignment="1">
      <alignment horizontal="center"/>
    </xf>
    <xf numFmtId="179" fontId="0" fillId="0" borderId="66" xfId="0" applyNumberFormat="1" applyFont="1" applyBorder="1" applyAlignment="1">
      <alignment horizontal="center"/>
    </xf>
    <xf numFmtId="179" fontId="0" fillId="29" borderId="62" xfId="0" applyNumberFormat="1" applyFont="1" applyFill="1" applyBorder="1" applyAlignment="1">
      <alignment horizontal="center"/>
    </xf>
    <xf numFmtId="179" fontId="64" fillId="0" borderId="49" xfId="0" applyNumberFormat="1" applyFont="1" applyFill="1" applyBorder="1" applyAlignment="1">
      <alignment horizontal="left" vertical="center" wrapText="1"/>
    </xf>
    <xf numFmtId="179" fontId="65" fillId="0" borderId="3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3" fontId="0" fillId="29" borderId="69" xfId="0" applyNumberFormat="1" applyFont="1" applyFill="1" applyBorder="1" applyAlignment="1">
      <alignment horizontal="center"/>
    </xf>
    <xf numFmtId="179" fontId="64" fillId="0" borderId="24" xfId="0" applyNumberFormat="1" applyFont="1" applyFill="1" applyBorder="1" applyAlignment="1">
      <alignment horizontal="left" vertical="center" wrapText="1"/>
    </xf>
    <xf numFmtId="0" fontId="0" fillId="29" borderId="63" xfId="0" applyFont="1" applyFill="1" applyBorder="1" applyAlignment="1">
      <alignment horizontal="center"/>
    </xf>
    <xf numFmtId="179" fontId="65" fillId="4" borderId="25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left" indent="5"/>
    </xf>
    <xf numFmtId="3" fontId="0" fillId="30" borderId="11" xfId="0" applyNumberFormat="1" applyFill="1" applyBorder="1" applyAlignment="1">
      <alignment horizontal="center"/>
    </xf>
    <xf numFmtId="179" fontId="65" fillId="0" borderId="67" xfId="0" applyNumberFormat="1" applyFont="1" applyFill="1" applyBorder="1" applyAlignment="1">
      <alignment horizontal="center" vertical="center"/>
    </xf>
    <xf numFmtId="179" fontId="65" fillId="29" borderId="68" xfId="0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0" fontId="0" fillId="0" borderId="19" xfId="0" applyBorder="1" applyAlignment="1">
      <alignment horizontal="left" indent="5"/>
    </xf>
    <xf numFmtId="179" fontId="66" fillId="29" borderId="68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left" indent="5"/>
    </xf>
    <xf numFmtId="0" fontId="0" fillId="29" borderId="62" xfId="0" applyFont="1" applyFill="1" applyBorder="1" applyAlignment="1">
      <alignment horizontal="center"/>
    </xf>
    <xf numFmtId="0" fontId="0" fillId="30" borderId="11" xfId="0" applyFill="1" applyBorder="1" applyAlignment="1">
      <alignment horizontal="center"/>
    </xf>
    <xf numFmtId="3" fontId="0" fillId="30" borderId="35" xfId="0" applyNumberFormat="1" applyFill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29" borderId="69" xfId="0" applyFont="1" applyFill="1" applyBorder="1" applyAlignment="1">
      <alignment horizontal="center"/>
    </xf>
    <xf numFmtId="0" fontId="0" fillId="0" borderId="21" xfId="0" applyBorder="1" applyAlignment="1">
      <alignment horizontal="left" indent="5"/>
    </xf>
    <xf numFmtId="0" fontId="0" fillId="30" borderId="22" xfId="0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179" fontId="64" fillId="0" borderId="27" xfId="0" applyNumberFormat="1" applyFont="1" applyFill="1" applyBorder="1" applyAlignment="1">
      <alignment horizontal="left" vertical="center" wrapText="1"/>
    </xf>
    <xf numFmtId="179" fontId="64" fillId="0" borderId="21" xfId="0" applyNumberFormat="1" applyFont="1" applyFill="1" applyBorder="1" applyAlignment="1">
      <alignment horizontal="left" vertical="center" wrapText="1"/>
    </xf>
    <xf numFmtId="179" fontId="65" fillId="30" borderId="22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179" fontId="67" fillId="4" borderId="29" xfId="0" applyNumberFormat="1" applyFont="1" applyFill="1" applyBorder="1" applyAlignment="1">
      <alignment vertical="center" wrapText="1"/>
    </xf>
    <xf numFmtId="179" fontId="65" fillId="4" borderId="70" xfId="0" applyNumberFormat="1" applyFont="1" applyFill="1" applyBorder="1" applyAlignment="1">
      <alignment horizontal="center" vertical="center"/>
    </xf>
    <xf numFmtId="179" fontId="65" fillId="30" borderId="70" xfId="0" applyNumberFormat="1" applyFont="1" applyFill="1" applyBorder="1" applyAlignment="1">
      <alignment horizontal="center" vertical="center"/>
    </xf>
    <xf numFmtId="179" fontId="65" fillId="29" borderId="30" xfId="0" applyNumberFormat="1" applyFont="1" applyFill="1" applyBorder="1" applyAlignment="1">
      <alignment horizontal="center" vertical="center"/>
    </xf>
    <xf numFmtId="49" fontId="65" fillId="0" borderId="25" xfId="0" applyNumberFormat="1" applyFont="1" applyFill="1" applyBorder="1" applyAlignment="1">
      <alignment horizontal="center" vertical="center"/>
    </xf>
    <xf numFmtId="3" fontId="0" fillId="29" borderId="71" xfId="0" applyNumberFormat="1" applyFont="1" applyFill="1" applyBorder="1" applyAlignment="1">
      <alignment horizontal="center"/>
    </xf>
    <xf numFmtId="179" fontId="64" fillId="0" borderId="19" xfId="0" applyNumberFormat="1" applyFont="1" applyFill="1" applyBorder="1" applyAlignment="1">
      <alignment horizontal="left" vertical="center" wrapText="1"/>
    </xf>
    <xf numFmtId="49" fontId="65" fillId="0" borderId="11" xfId="0" applyNumberFormat="1" applyFont="1" applyFill="1" applyBorder="1" applyAlignment="1">
      <alignment horizontal="center" vertical="center"/>
    </xf>
    <xf numFmtId="3" fontId="0" fillId="29" borderId="72" xfId="0" applyNumberFormat="1" applyFont="1" applyFill="1" applyBorder="1" applyAlignment="1">
      <alignment horizontal="center"/>
    </xf>
    <xf numFmtId="0" fontId="0" fillId="29" borderId="72" xfId="0" applyFont="1" applyFill="1" applyBorder="1" applyAlignment="1">
      <alignment horizontal="center"/>
    </xf>
    <xf numFmtId="3" fontId="68" fillId="0" borderId="11" xfId="0" applyNumberFormat="1" applyFont="1" applyBorder="1" applyAlignment="1">
      <alignment horizontal="center"/>
    </xf>
    <xf numFmtId="3" fontId="60" fillId="0" borderId="11" xfId="0" applyNumberFormat="1" applyFont="1" applyBorder="1" applyAlignment="1">
      <alignment horizontal="center"/>
    </xf>
    <xf numFmtId="179" fontId="64" fillId="0" borderId="19" xfId="0" applyNumberFormat="1" applyFont="1" applyFill="1" applyBorder="1" applyAlignment="1">
      <alignment vertical="center" wrapText="1"/>
    </xf>
    <xf numFmtId="179" fontId="69" fillId="0" borderId="19" xfId="0" applyNumberFormat="1" applyFont="1" applyFill="1" applyBorder="1" applyAlignment="1">
      <alignment vertical="center" wrapText="1"/>
    </xf>
    <xf numFmtId="179" fontId="65" fillId="4" borderId="11" xfId="0" applyNumberFormat="1" applyFont="1" applyFill="1" applyBorder="1" applyAlignment="1">
      <alignment horizontal="center" vertical="center"/>
    </xf>
    <xf numFmtId="0" fontId="0" fillId="29" borderId="36" xfId="0" applyFont="1" applyFill="1" applyBorder="1" applyAlignment="1">
      <alignment horizontal="center"/>
    </xf>
    <xf numFmtId="3" fontId="0" fillId="29" borderId="36" xfId="0" applyNumberFormat="1" applyFont="1" applyFill="1" applyBorder="1" applyAlignment="1">
      <alignment horizontal="center"/>
    </xf>
    <xf numFmtId="49" fontId="65" fillId="0" borderId="35" xfId="0" applyNumberFormat="1" applyFont="1" applyFill="1" applyBorder="1" applyAlignment="1">
      <alignment horizontal="center" vertical="center"/>
    </xf>
    <xf numFmtId="179" fontId="67" fillId="4" borderId="52" xfId="0" applyNumberFormat="1" applyFont="1" applyFill="1" applyBorder="1" applyAlignment="1">
      <alignment vertical="center" wrapText="1"/>
    </xf>
    <xf numFmtId="179" fontId="65" fillId="4" borderId="56" xfId="0" applyNumberFormat="1" applyFont="1" applyFill="1" applyBorder="1" applyAlignment="1">
      <alignment horizontal="center" vertical="center"/>
    </xf>
    <xf numFmtId="179" fontId="65" fillId="30" borderId="56" xfId="0" applyNumberFormat="1" applyFont="1" applyFill="1" applyBorder="1" applyAlignment="1">
      <alignment horizontal="center" vertical="center"/>
    </xf>
    <xf numFmtId="179" fontId="65" fillId="4" borderId="57" xfId="0" applyNumberFormat="1" applyFont="1" applyFill="1" applyBorder="1" applyAlignment="1">
      <alignment horizontal="center" vertical="center"/>
    </xf>
    <xf numFmtId="179" fontId="65" fillId="29" borderId="57" xfId="0" applyNumberFormat="1" applyFont="1" applyFill="1" applyBorder="1" applyAlignment="1">
      <alignment horizontal="center" vertical="center"/>
    </xf>
    <xf numFmtId="179" fontId="0" fillId="0" borderId="0" xfId="0" applyNumberFormat="1" applyFont="1"/>
    <xf numFmtId="179" fontId="65" fillId="31" borderId="70" xfId="0" applyNumberFormat="1" applyFont="1" applyFill="1" applyBorder="1" applyAlignment="1">
      <alignment horizontal="center" vertical="center"/>
    </xf>
    <xf numFmtId="179" fontId="65" fillId="32" borderId="56" xfId="0" applyNumberFormat="1" applyFont="1" applyFill="1" applyBorder="1" applyAlignment="1">
      <alignment horizontal="center" vertical="center"/>
    </xf>
    <xf numFmtId="179" fontId="69" fillId="0" borderId="29" xfId="0" applyNumberFormat="1" applyFont="1" applyFill="1" applyBorder="1" applyAlignment="1">
      <alignment horizontal="left" vertical="center" wrapText="1"/>
    </xf>
    <xf numFmtId="179" fontId="65" fillId="0" borderId="70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179" fontId="67" fillId="4" borderId="14" xfId="0" applyNumberFormat="1" applyFont="1" applyFill="1" applyBorder="1" applyAlignment="1">
      <alignment horizontal="left" vertical="center" wrapText="1"/>
    </xf>
    <xf numFmtId="179" fontId="65" fillId="4" borderId="73" xfId="0" applyNumberFormat="1" applyFont="1" applyFill="1" applyBorder="1" applyAlignment="1">
      <alignment horizontal="center" vertical="center"/>
    </xf>
    <xf numFmtId="179" fontId="65" fillId="30" borderId="73" xfId="0" applyNumberFormat="1" applyFont="1" applyFill="1" applyBorder="1" applyAlignment="1">
      <alignment horizontal="center" vertical="center"/>
    </xf>
    <xf numFmtId="179" fontId="65" fillId="31" borderId="73" xfId="0" applyNumberFormat="1" applyFont="1" applyFill="1" applyBorder="1" applyAlignment="1">
      <alignment horizontal="center" vertical="center"/>
    </xf>
    <xf numFmtId="0" fontId="61" fillId="0" borderId="15" xfId="0" applyFont="1" applyBorder="1"/>
    <xf numFmtId="0" fontId="61" fillId="30" borderId="15" xfId="0" applyFont="1" applyFill="1" applyBorder="1" applyAlignment="1">
      <alignment horizontal="center"/>
    </xf>
    <xf numFmtId="0" fontId="61" fillId="31" borderId="15" xfId="0" applyFont="1" applyFill="1" applyBorder="1" applyAlignment="1">
      <alignment horizontal="center"/>
    </xf>
    <xf numFmtId="49" fontId="65" fillId="0" borderId="16" xfId="0" applyNumberFormat="1" applyFont="1" applyFill="1" applyBorder="1" applyAlignment="1">
      <alignment horizontal="center" vertical="center"/>
    </xf>
    <xf numFmtId="49" fontId="65" fillId="30" borderId="16" xfId="0" applyNumberFormat="1" applyFont="1" applyFill="1" applyBorder="1" applyAlignment="1">
      <alignment horizontal="center" vertical="center"/>
    </xf>
    <xf numFmtId="49" fontId="65" fillId="31" borderId="16" xfId="0" applyNumberFormat="1" applyFont="1" applyFill="1" applyBorder="1" applyAlignment="1">
      <alignment horizontal="center" vertical="center"/>
    </xf>
    <xf numFmtId="49" fontId="65" fillId="30" borderId="35" xfId="0" applyNumberFormat="1" applyFont="1" applyFill="1" applyBorder="1" applyAlignment="1">
      <alignment horizontal="center" vertical="center"/>
    </xf>
    <xf numFmtId="49" fontId="65" fillId="31" borderId="35" xfId="0" applyNumberFormat="1" applyFont="1" applyFill="1" applyBorder="1" applyAlignment="1">
      <alignment horizontal="center" vertical="center"/>
    </xf>
    <xf numFmtId="179" fontId="67" fillId="4" borderId="29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179" fontId="67" fillId="4" borderId="17" xfId="0" applyNumberFormat="1" applyFont="1" applyFill="1" applyBorder="1" applyAlignment="1">
      <alignment horizontal="left" vertical="center" wrapText="1"/>
    </xf>
    <xf numFmtId="179" fontId="65" fillId="4" borderId="18" xfId="0" applyNumberFormat="1" applyFont="1" applyFill="1" applyBorder="1" applyAlignment="1">
      <alignment horizontal="center" vertical="center"/>
    </xf>
    <xf numFmtId="179" fontId="65" fillId="30" borderId="18" xfId="0" applyNumberFormat="1" applyFont="1" applyFill="1" applyBorder="1" applyAlignment="1">
      <alignment horizontal="center" vertical="center"/>
    </xf>
    <xf numFmtId="179" fontId="65" fillId="31" borderId="18" xfId="0" applyNumberFormat="1" applyFont="1" applyFill="1" applyBorder="1" applyAlignment="1">
      <alignment horizontal="center" vertical="center"/>
    </xf>
    <xf numFmtId="179" fontId="67" fillId="4" borderId="17" xfId="0" applyNumberFormat="1" applyFont="1" applyFill="1" applyBorder="1" applyAlignment="1">
      <alignment vertical="center" wrapText="1"/>
    </xf>
    <xf numFmtId="0" fontId="61" fillId="0" borderId="18" xfId="0" applyFont="1" applyBorder="1"/>
    <xf numFmtId="0" fontId="61" fillId="30" borderId="18" xfId="0" applyFont="1" applyFill="1" applyBorder="1" applyAlignment="1">
      <alignment horizontal="center"/>
    </xf>
    <xf numFmtId="0" fontId="61" fillId="31" borderId="18" xfId="0" applyFont="1" applyFill="1" applyBorder="1" applyAlignment="1">
      <alignment horizontal="center"/>
    </xf>
    <xf numFmtId="179" fontId="65" fillId="30" borderId="11" xfId="0" applyNumberFormat="1" applyFont="1" applyFill="1" applyBorder="1" applyAlignment="1">
      <alignment horizontal="center" vertical="center"/>
    </xf>
    <xf numFmtId="179" fontId="65" fillId="31" borderId="11" xfId="0" applyNumberFormat="1" applyFont="1" applyFill="1" applyBorder="1" applyAlignment="1">
      <alignment horizontal="center" vertical="center"/>
    </xf>
    <xf numFmtId="179" fontId="65" fillId="30" borderId="35" xfId="0" applyNumberFormat="1" applyFont="1" applyFill="1" applyBorder="1" applyAlignment="1">
      <alignment horizontal="center" vertical="center"/>
    </xf>
    <xf numFmtId="179" fontId="65" fillId="31" borderId="35" xfId="0" applyNumberFormat="1" applyFont="1" applyFill="1" applyBorder="1" applyAlignment="1">
      <alignment horizontal="center" vertical="center"/>
    </xf>
    <xf numFmtId="0" fontId="61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79" fontId="65" fillId="29" borderId="20" xfId="0" applyNumberFormat="1" applyFont="1" applyFill="1" applyBorder="1" applyAlignment="1">
      <alignment horizontal="center" vertical="center"/>
    </xf>
    <xf numFmtId="179" fontId="65" fillId="29" borderId="70" xfId="0" applyNumberFormat="1" applyFont="1" applyFill="1" applyBorder="1" applyAlignment="1">
      <alignment horizontal="center" vertical="center"/>
    </xf>
    <xf numFmtId="3" fontId="61" fillId="30" borderId="0" xfId="0" applyNumberFormat="1" applyFont="1" applyFill="1" applyAlignment="1">
      <alignment horizontal="center"/>
    </xf>
    <xf numFmtId="179" fontId="0" fillId="0" borderId="0" xfId="0" applyNumberFormat="1" applyFont="1" applyAlignment="1">
      <alignment horizontal="center"/>
    </xf>
    <xf numFmtId="179" fontId="61" fillId="30" borderId="0" xfId="0" applyNumberFormat="1" applyFont="1" applyFill="1" applyAlignment="1">
      <alignment horizontal="center"/>
    </xf>
    <xf numFmtId="0" fontId="11" fillId="0" borderId="0" xfId="0" applyFont="1" applyAlignment="1"/>
    <xf numFmtId="3" fontId="0" fillId="0" borderId="0" xfId="0" applyNumberFormat="1" applyFill="1"/>
    <xf numFmtId="180" fontId="60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33" borderId="8" xfId="0" applyFont="1" applyFill="1" applyBorder="1" applyAlignment="1">
      <alignment horizontal="center" vertical="center"/>
    </xf>
    <xf numFmtId="0" fontId="11" fillId="33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9" fontId="11" fillId="0" borderId="10" xfId="0" applyNumberFormat="1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180" fontId="11" fillId="0" borderId="74" xfId="0" applyNumberFormat="1" applyFont="1" applyFill="1" applyBorder="1" applyAlignment="1">
      <alignment horizontal="center" vertical="center"/>
    </xf>
    <xf numFmtId="9" fontId="11" fillId="0" borderId="12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wrapText="1"/>
    </xf>
    <xf numFmtId="0" fontId="11" fillId="0" borderId="7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7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27" fillId="0" borderId="16" xfId="0" applyFont="1" applyBorder="1"/>
    <xf numFmtId="0" fontId="0" fillId="0" borderId="16" xfId="0" applyBorder="1"/>
    <xf numFmtId="3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 wrapText="1"/>
    </xf>
    <xf numFmtId="3" fontId="0" fillId="0" borderId="16" xfId="0" applyNumberFormat="1" applyFill="1" applyBorder="1" applyAlignment="1">
      <alignment horizontal="center"/>
    </xf>
    <xf numFmtId="181" fontId="60" fillId="0" borderId="0" xfId="0" applyNumberFormat="1" applyFont="1" applyAlignment="1">
      <alignment horizontal="center"/>
    </xf>
    <xf numFmtId="0" fontId="27" fillId="0" borderId="35" xfId="0" applyFont="1" applyBorder="1"/>
    <xf numFmtId="0" fontId="0" fillId="0" borderId="35" xfId="0" applyBorder="1"/>
    <xf numFmtId="10" fontId="0" fillId="0" borderId="35" xfId="0" applyNumberFormat="1" applyBorder="1"/>
    <xf numFmtId="0" fontId="62" fillId="0" borderId="29" xfId="0" applyFont="1" applyBorder="1"/>
    <xf numFmtId="0" fontId="62" fillId="0" borderId="77" xfId="0" applyFont="1" applyBorder="1"/>
    <xf numFmtId="0" fontId="11" fillId="0" borderId="70" xfId="0" applyFont="1" applyBorder="1"/>
    <xf numFmtId="3" fontId="11" fillId="0" borderId="70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0" xfId="0" applyNumberFormat="1" applyFont="1"/>
    <xf numFmtId="0" fontId="11" fillId="0" borderId="16" xfId="0" applyFont="1" applyBorder="1"/>
    <xf numFmtId="3" fontId="11" fillId="0" borderId="16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27" fillId="0" borderId="11" xfId="0" applyFont="1" applyBorder="1"/>
    <xf numFmtId="0" fontId="11" fillId="0" borderId="11" xfId="0" applyFont="1" applyBorder="1"/>
    <xf numFmtId="0" fontId="72" fillId="0" borderId="11" xfId="0" applyFont="1" applyBorder="1"/>
    <xf numFmtId="0" fontId="0" fillId="34" borderId="11" xfId="0" applyFont="1" applyFill="1" applyBorder="1"/>
    <xf numFmtId="3" fontId="0" fillId="34" borderId="11" xfId="0" applyNumberFormat="1" applyFont="1" applyFill="1" applyBorder="1"/>
    <xf numFmtId="0" fontId="0" fillId="0" borderId="11" xfId="0" applyFont="1" applyBorder="1"/>
    <xf numFmtId="9" fontId="0" fillId="0" borderId="11" xfId="211" applyFont="1" applyBorder="1"/>
    <xf numFmtId="3" fontId="0" fillId="0" borderId="11" xfId="0" applyNumberFormat="1" applyFont="1" applyFill="1" applyBorder="1" applyAlignment="1">
      <alignment horizontal="center"/>
    </xf>
    <xf numFmtId="0" fontId="27" fillId="0" borderId="35" xfId="0" applyFont="1" applyFill="1" applyBorder="1"/>
    <xf numFmtId="3" fontId="0" fillId="0" borderId="11" xfId="0" applyNumberFormat="1" applyFont="1" applyFill="1" applyBorder="1"/>
    <xf numFmtId="9" fontId="0" fillId="0" borderId="35" xfId="211" applyFont="1" applyFill="1" applyBorder="1"/>
    <xf numFmtId="3" fontId="0" fillId="0" borderId="35" xfId="0" applyNumberForma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80" fontId="60" fillId="0" borderId="0" xfId="0" applyNumberFormat="1" applyFont="1" applyFill="1" applyAlignment="1">
      <alignment horizontal="center"/>
    </xf>
    <xf numFmtId="3" fontId="0" fillId="0" borderId="35" xfId="0" applyNumberFormat="1" applyFill="1" applyBorder="1"/>
    <xf numFmtId="180" fontId="73" fillId="0" borderId="0" xfId="0" applyNumberFormat="1" applyFont="1" applyAlignment="1">
      <alignment horizontal="center"/>
    </xf>
    <xf numFmtId="181" fontId="11" fillId="30" borderId="0" xfId="0" applyNumberFormat="1" applyFont="1" applyFill="1"/>
    <xf numFmtId="3" fontId="11" fillId="30" borderId="0" xfId="0" applyNumberFormat="1" applyFont="1" applyFill="1"/>
    <xf numFmtId="0" fontId="62" fillId="0" borderId="11" xfId="0" applyFont="1" applyBorder="1"/>
    <xf numFmtId="3" fontId="0" fillId="0" borderId="11" xfId="0" applyNumberFormat="1" applyBorder="1"/>
    <xf numFmtId="3" fontId="0" fillId="0" borderId="11" xfId="0" applyNumberFormat="1" applyFill="1" applyBorder="1"/>
    <xf numFmtId="3" fontId="0" fillId="30" borderId="0" xfId="0" applyNumberFormat="1" applyFill="1"/>
    <xf numFmtId="16" fontId="27" fillId="0" borderId="11" xfId="0" applyNumberFormat="1" applyFont="1" applyBorder="1"/>
    <xf numFmtId="9" fontId="11" fillId="0" borderId="11" xfId="211" applyFont="1" applyBorder="1"/>
    <xf numFmtId="3" fontId="0" fillId="0" borderId="11" xfId="0" applyNumberFormat="1" applyFont="1" applyBorder="1"/>
    <xf numFmtId="3" fontId="11" fillId="0" borderId="11" xfId="0" applyNumberFormat="1" applyFont="1" applyBorder="1"/>
    <xf numFmtId="3" fontId="11" fillId="0" borderId="11" xfId="0" applyNumberFormat="1" applyFont="1" applyFill="1" applyBorder="1"/>
    <xf numFmtId="180" fontId="0" fillId="30" borderId="0" xfId="0" applyNumberFormat="1" applyFill="1"/>
    <xf numFmtId="3" fontId="0" fillId="0" borderId="35" xfId="0" applyNumberFormat="1" applyBorder="1"/>
    <xf numFmtId="3" fontId="11" fillId="0" borderId="35" xfId="0" applyNumberFormat="1" applyFont="1" applyBorder="1"/>
    <xf numFmtId="0" fontId="62" fillId="0" borderId="29" xfId="0" applyFont="1" applyBorder="1" applyAlignment="1">
      <alignment horizontal="left"/>
    </xf>
    <xf numFmtId="0" fontId="62" fillId="0" borderId="77" xfId="0" applyFont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3" fontId="62" fillId="0" borderId="11" xfId="0" applyNumberFormat="1" applyFont="1" applyBorder="1"/>
    <xf numFmtId="3" fontId="27" fillId="0" borderId="11" xfId="0" applyNumberFormat="1" applyFont="1" applyBorder="1"/>
    <xf numFmtId="182" fontId="11" fillId="0" borderId="0" xfId="0" applyNumberFormat="1" applyFont="1"/>
    <xf numFmtId="3" fontId="27" fillId="0" borderId="35" xfId="0" applyNumberFormat="1" applyFont="1" applyBorder="1"/>
    <xf numFmtId="0" fontId="62" fillId="0" borderId="4" xfId="0" applyFont="1" applyBorder="1" applyAlignment="1">
      <alignment horizontal="left"/>
    </xf>
    <xf numFmtId="3" fontId="11" fillId="0" borderId="30" xfId="0" applyNumberFormat="1" applyFont="1" applyBorder="1"/>
    <xf numFmtId="3" fontId="0" fillId="0" borderId="38" xfId="0" applyNumberFormat="1" applyBorder="1"/>
    <xf numFmtId="3" fontId="62" fillId="0" borderId="16" xfId="0" applyNumberFormat="1" applyFont="1" applyBorder="1"/>
    <xf numFmtId="3" fontId="11" fillId="0" borderId="16" xfId="0" applyNumberFormat="1" applyFont="1" applyBorder="1"/>
    <xf numFmtId="3" fontId="11" fillId="34" borderId="11" xfId="0" applyNumberFormat="1" applyFont="1" applyFill="1" applyBorder="1"/>
    <xf numFmtId="3" fontId="0" fillId="34" borderId="35" xfId="0" applyNumberFormat="1" applyFill="1" applyBorder="1"/>
    <xf numFmtId="0" fontId="11" fillId="0" borderId="70" xfId="0" applyFont="1" applyBorder="1" applyAlignment="1">
      <alignment horizontal="center"/>
    </xf>
    <xf numFmtId="179" fontId="75" fillId="0" borderId="0" xfId="0" applyNumberFormat="1" applyFont="1"/>
    <xf numFmtId="179" fontId="66" fillId="0" borderId="0" xfId="0" applyNumberFormat="1" applyFont="1"/>
    <xf numFmtId="179" fontId="76" fillId="0" borderId="0" xfId="0" applyNumberFormat="1" applyFont="1"/>
    <xf numFmtId="179" fontId="66" fillId="0" borderId="78" xfId="0" applyNumberFormat="1" applyFont="1" applyFill="1" applyBorder="1" applyAlignment="1">
      <alignment vertical="center"/>
    </xf>
    <xf numFmtId="179" fontId="66" fillId="0" borderId="79" xfId="0" applyNumberFormat="1" applyFont="1" applyFill="1" applyBorder="1" applyAlignment="1">
      <alignment vertical="center"/>
    </xf>
    <xf numFmtId="179" fontId="65" fillId="0" borderId="26" xfId="0" applyNumberFormat="1" applyFont="1" applyFill="1" applyBorder="1" applyAlignment="1">
      <alignment horizontal="center" vertical="center"/>
    </xf>
    <xf numFmtId="179" fontId="66" fillId="0" borderId="80" xfId="0" applyNumberFormat="1" applyFont="1" applyFill="1" applyBorder="1" applyAlignment="1">
      <alignment vertical="center"/>
    </xf>
    <xf numFmtId="179" fontId="66" fillId="0" borderId="2" xfId="0" applyNumberFormat="1" applyFont="1" applyFill="1" applyBorder="1" applyAlignment="1">
      <alignment vertical="center"/>
    </xf>
    <xf numFmtId="49" fontId="65" fillId="0" borderId="28" xfId="0" applyNumberFormat="1" applyFont="1" applyFill="1" applyBorder="1" applyAlignment="1">
      <alignment horizontal="center" vertical="center"/>
    </xf>
    <xf numFmtId="179" fontId="65" fillId="0" borderId="28" xfId="0" applyNumberFormat="1" applyFont="1" applyFill="1" applyBorder="1" applyAlignment="1">
      <alignment horizontal="center" vertical="center"/>
    </xf>
    <xf numFmtId="179" fontId="66" fillId="0" borderId="81" xfId="0" applyNumberFormat="1" applyFont="1" applyFill="1" applyBorder="1" applyAlignment="1">
      <alignment vertical="center"/>
    </xf>
    <xf numFmtId="179" fontId="66" fillId="0" borderId="82" xfId="0" applyNumberFormat="1" applyFont="1" applyFill="1" applyBorder="1" applyAlignment="1">
      <alignment vertical="center"/>
    </xf>
    <xf numFmtId="179" fontId="65" fillId="0" borderId="83" xfId="0" applyNumberFormat="1" applyFont="1" applyFill="1" applyBorder="1" applyAlignment="1">
      <alignment horizontal="center" vertical="center"/>
    </xf>
    <xf numFmtId="179" fontId="65" fillId="0" borderId="84" xfId="0" applyNumberFormat="1" applyFont="1" applyFill="1" applyBorder="1" applyAlignment="1">
      <alignment horizontal="center" vertical="center"/>
    </xf>
    <xf numFmtId="49" fontId="65" fillId="0" borderId="89" xfId="0" applyNumberFormat="1" applyFont="1" applyFill="1" applyBorder="1" applyAlignment="1">
      <alignment horizontal="center" vertical="center"/>
    </xf>
    <xf numFmtId="179" fontId="65" fillId="0" borderId="20" xfId="0" applyNumberFormat="1" applyFont="1" applyFill="1" applyBorder="1" applyAlignment="1">
      <alignment horizontal="center" vertical="center"/>
    </xf>
    <xf numFmtId="49" fontId="65" fillId="0" borderId="20" xfId="0" applyNumberFormat="1" applyFont="1" applyFill="1" applyBorder="1" applyAlignment="1">
      <alignment horizontal="center" vertical="center"/>
    </xf>
    <xf numFmtId="179" fontId="66" fillId="0" borderId="95" xfId="0" applyNumberFormat="1" applyFont="1" applyFill="1" applyBorder="1" applyAlignment="1">
      <alignment vertical="center"/>
    </xf>
    <xf numFmtId="179" fontId="66" fillId="0" borderId="94" xfId="0" applyNumberFormat="1" applyFont="1" applyFill="1" applyBorder="1" applyAlignment="1">
      <alignment vertical="center"/>
    </xf>
    <xf numFmtId="179" fontId="66" fillId="0" borderId="93" xfId="0" applyNumberFormat="1" applyFont="1" applyFill="1" applyBorder="1" applyAlignment="1">
      <alignment vertical="center"/>
    </xf>
    <xf numFmtId="179" fontId="66" fillId="0" borderId="14" xfId="0" applyNumberFormat="1" applyFont="1" applyFill="1" applyBorder="1" applyAlignment="1">
      <alignment vertical="center"/>
    </xf>
    <xf numFmtId="179" fontId="66" fillId="0" borderId="15" xfId="0" applyNumberFormat="1" applyFont="1" applyFill="1" applyBorder="1" applyAlignment="1">
      <alignment vertical="center"/>
    </xf>
    <xf numFmtId="179" fontId="65" fillId="0" borderId="73" xfId="0" applyNumberFormat="1" applyFont="1" applyFill="1" applyBorder="1" applyAlignment="1">
      <alignment horizontal="center" vertical="center"/>
    </xf>
    <xf numFmtId="49" fontId="65" fillId="0" borderId="96" xfId="0" applyNumberFormat="1" applyFont="1" applyFill="1" applyBorder="1" applyAlignment="1">
      <alignment horizontal="center" vertical="center"/>
    </xf>
    <xf numFmtId="179" fontId="65" fillId="4" borderId="30" xfId="0" applyNumberFormat="1" applyFont="1" applyFill="1" applyBorder="1" applyAlignment="1">
      <alignment horizontal="center" vertical="center"/>
    </xf>
    <xf numFmtId="179" fontId="67" fillId="0" borderId="26" xfId="0" applyNumberFormat="1" applyFont="1" applyFill="1" applyBorder="1" applyAlignment="1">
      <alignment horizontal="center" vertical="center"/>
    </xf>
    <xf numFmtId="49" fontId="67" fillId="0" borderId="20" xfId="0" applyNumberFormat="1" applyFont="1" applyFill="1" applyBorder="1" applyAlignment="1">
      <alignment horizontal="center" vertical="center"/>
    </xf>
    <xf numFmtId="179" fontId="67" fillId="0" borderId="20" xfId="0" applyNumberFormat="1" applyFont="1" applyFill="1" applyBorder="1" applyAlignment="1">
      <alignment horizontal="center" vertical="center"/>
    </xf>
    <xf numFmtId="179" fontId="67" fillId="4" borderId="20" xfId="0" applyNumberFormat="1" applyFont="1" applyFill="1" applyBorder="1" applyAlignment="1">
      <alignment horizontal="center" vertical="center"/>
    </xf>
    <xf numFmtId="179" fontId="65" fillId="0" borderId="50" xfId="0" applyNumberFormat="1" applyFont="1" applyFill="1" applyBorder="1" applyAlignment="1">
      <alignment horizontal="center" vertical="center"/>
    </xf>
    <xf numFmtId="49" fontId="67" fillId="0" borderId="99" xfId="0" applyNumberFormat="1" applyFont="1" applyFill="1" applyBorder="1" applyAlignment="1">
      <alignment horizontal="center" vertical="center"/>
    </xf>
    <xf numFmtId="179" fontId="67" fillId="4" borderId="30" xfId="0" applyNumberFormat="1" applyFont="1" applyFill="1" applyBorder="1" applyAlignment="1">
      <alignment horizontal="center" vertical="center"/>
    </xf>
    <xf numFmtId="179" fontId="75" fillId="0" borderId="8" xfId="0" applyNumberFormat="1" applyFont="1" applyBorder="1"/>
    <xf numFmtId="0" fontId="78" fillId="0" borderId="0" xfId="212"/>
    <xf numFmtId="0" fontId="80" fillId="36" borderId="0" xfId="212" applyFont="1" applyFill="1"/>
    <xf numFmtId="1" fontId="78" fillId="0" borderId="0" xfId="212" applyNumberFormat="1"/>
    <xf numFmtId="0" fontId="78" fillId="0" borderId="0" xfId="212" applyAlignment="1">
      <alignment horizontal="left"/>
    </xf>
    <xf numFmtId="0" fontId="78" fillId="0" borderId="0" xfId="212" applyFill="1"/>
    <xf numFmtId="41" fontId="0" fillId="0" borderId="0" xfId="213" applyFont="1"/>
    <xf numFmtId="0" fontId="80" fillId="37" borderId="0" xfId="212" applyFont="1" applyFill="1"/>
    <xf numFmtId="42" fontId="78" fillId="0" borderId="0" xfId="212" applyNumberFormat="1"/>
    <xf numFmtId="0" fontId="0" fillId="0" borderId="53" xfId="0" applyBorder="1" applyAlignment="1">
      <alignment horizontal="left" indent="5"/>
    </xf>
    <xf numFmtId="179" fontId="65" fillId="0" borderId="10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 indent="5"/>
    </xf>
    <xf numFmtId="3" fontId="0" fillId="30" borderId="25" xfId="0" applyNumberForma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29" borderId="61" xfId="0" applyNumberFormat="1" applyFont="1" applyFill="1" applyBorder="1" applyAlignment="1">
      <alignment horizontal="center"/>
    </xf>
    <xf numFmtId="0" fontId="81" fillId="3" borderId="10" xfId="0" applyFont="1" applyFill="1" applyBorder="1"/>
    <xf numFmtId="0" fontId="81" fillId="3" borderId="0" xfId="0" applyFont="1" applyFill="1" applyBorder="1"/>
    <xf numFmtId="0" fontId="82" fillId="3" borderId="10" xfId="0" applyFont="1" applyFill="1" applyBorder="1"/>
    <xf numFmtId="0" fontId="82" fillId="3" borderId="0" xfId="0" applyFont="1" applyFill="1" applyBorder="1"/>
    <xf numFmtId="0" fontId="68" fillId="3" borderId="93" xfId="0" applyFont="1" applyFill="1" applyBorder="1" applyAlignment="1">
      <alignment horizontal="center"/>
    </xf>
    <xf numFmtId="0" fontId="68" fillId="38" borderId="35" xfId="0" applyFont="1" applyFill="1" applyBorder="1" applyAlignment="1">
      <alignment horizontal="center"/>
    </xf>
    <xf numFmtId="3" fontId="11" fillId="3" borderId="38" xfId="0" applyNumberFormat="1" applyFont="1" applyFill="1" applyBorder="1" applyAlignment="1">
      <alignment horizontal="center"/>
    </xf>
    <xf numFmtId="3" fontId="83" fillId="5" borderId="93" xfId="0" applyNumberFormat="1" applyFont="1" applyFill="1" applyBorder="1" applyAlignment="1">
      <alignment horizontal="center"/>
    </xf>
    <xf numFmtId="3" fontId="83" fillId="38" borderId="50" xfId="0" applyNumberFormat="1" applyFont="1" applyFill="1" applyBorder="1" applyAlignment="1">
      <alignment horizontal="center"/>
    </xf>
    <xf numFmtId="3" fontId="83" fillId="5" borderId="38" xfId="0" applyNumberFormat="1" applyFont="1" applyFill="1" applyBorder="1" applyAlignment="1">
      <alignment horizontal="center"/>
    </xf>
    <xf numFmtId="0" fontId="68" fillId="38" borderId="50" xfId="0" applyFont="1" applyFill="1" applyBorder="1" applyAlignment="1">
      <alignment horizontal="center"/>
    </xf>
    <xf numFmtId="9" fontId="68" fillId="3" borderId="59" xfId="211" applyFont="1" applyFill="1" applyBorder="1" applyAlignment="1">
      <alignment horizontal="center"/>
    </xf>
    <xf numFmtId="9" fontId="68" fillId="38" borderId="16" xfId="211" applyFont="1" applyFill="1" applyBorder="1" applyAlignment="1">
      <alignment horizontal="center"/>
    </xf>
    <xf numFmtId="3" fontId="11" fillId="3" borderId="64" xfId="0" applyNumberFormat="1" applyFont="1" applyFill="1" applyBorder="1" applyAlignment="1">
      <alignment horizontal="center"/>
    </xf>
    <xf numFmtId="9" fontId="0" fillId="0" borderId="0" xfId="0" applyNumberFormat="1" applyFont="1"/>
    <xf numFmtId="0" fontId="11" fillId="0" borderId="11" xfId="0" applyFont="1" applyBorder="1" applyAlignment="1">
      <alignment horizontal="left"/>
    </xf>
    <xf numFmtId="3" fontId="62" fillId="0" borderId="77" xfId="0" applyNumberFormat="1" applyFont="1" applyBorder="1" applyAlignment="1">
      <alignment horizontal="left"/>
    </xf>
    <xf numFmtId="0" fontId="78" fillId="0" borderId="11" xfId="212" applyBorder="1"/>
    <xf numFmtId="0" fontId="78" fillId="0" borderId="11" xfId="212" applyBorder="1" applyAlignment="1">
      <alignment horizontal="right"/>
    </xf>
    <xf numFmtId="3" fontId="18" fillId="3" borderId="25" xfId="0" applyNumberFormat="1" applyFont="1" applyFill="1" applyBorder="1"/>
    <xf numFmtId="3" fontId="18" fillId="3" borderId="26" xfId="0" applyNumberFormat="1" applyFont="1" applyFill="1" applyBorder="1"/>
    <xf numFmtId="0" fontId="78" fillId="0" borderId="25" xfId="212" applyBorder="1"/>
    <xf numFmtId="42" fontId="5" fillId="0" borderId="51" xfId="6" applyFont="1" applyBorder="1"/>
    <xf numFmtId="42" fontId="5" fillId="0" borderId="96" xfId="6" applyFont="1" applyBorder="1"/>
    <xf numFmtId="0" fontId="0" fillId="0" borderId="25" xfId="0" applyBorder="1"/>
    <xf numFmtId="42" fontId="0" fillId="0" borderId="25" xfId="0" applyNumberFormat="1" applyBorder="1"/>
    <xf numFmtId="0" fontId="0" fillId="0" borderId="26" xfId="0" applyBorder="1"/>
    <xf numFmtId="3" fontId="6" fillId="0" borderId="19" xfId="3" applyNumberFormat="1" applyFont="1" applyBorder="1"/>
    <xf numFmtId="42" fontId="0" fillId="0" borderId="20" xfId="0" applyNumberFormat="1" applyBorder="1"/>
    <xf numFmtId="3" fontId="6" fillId="0" borderId="21" xfId="3" applyNumberFormat="1" applyFont="1" applyBorder="1"/>
    <xf numFmtId="0" fontId="0" fillId="0" borderId="22" xfId="0" applyBorder="1"/>
    <xf numFmtId="3" fontId="0" fillId="0" borderId="23" xfId="0" applyNumberFormat="1" applyBorder="1"/>
    <xf numFmtId="3" fontId="5" fillId="0" borderId="100" xfId="3" applyNumberFormat="1" applyFont="1" applyFill="1" applyBorder="1"/>
    <xf numFmtId="0" fontId="54" fillId="27" borderId="0" xfId="5" applyFont="1" applyFill="1" applyBorder="1" applyAlignment="1">
      <alignment vertical="center"/>
    </xf>
    <xf numFmtId="0" fontId="84" fillId="0" borderId="0" xfId="220">
      <alignment vertical="center"/>
    </xf>
    <xf numFmtId="0" fontId="14" fillId="28" borderId="34" xfId="220" applyFont="1" applyFill="1" applyBorder="1">
      <alignment vertical="center"/>
    </xf>
    <xf numFmtId="0" fontId="14" fillId="28" borderId="1" xfId="220" applyFont="1" applyFill="1" applyBorder="1">
      <alignment vertical="center"/>
    </xf>
    <xf numFmtId="0" fontId="14" fillId="28" borderId="64" xfId="220" applyFont="1" applyFill="1" applyBorder="1">
      <alignment vertical="center"/>
    </xf>
    <xf numFmtId="0" fontId="14" fillId="28" borderId="11" xfId="220" applyFont="1" applyFill="1" applyBorder="1" applyAlignment="1">
      <alignment horizontal="center" wrapText="1"/>
    </xf>
    <xf numFmtId="0" fontId="14" fillId="28" borderId="66" xfId="220" applyFont="1" applyFill="1" applyBorder="1" applyAlignment="1">
      <alignment horizontal="center" wrapText="1"/>
    </xf>
    <xf numFmtId="0" fontId="14" fillId="0" borderId="11" xfId="220" applyFont="1" applyFill="1" applyBorder="1" applyProtection="1">
      <alignment vertical="center"/>
      <protection locked="0"/>
    </xf>
    <xf numFmtId="0" fontId="14" fillId="28" borderId="100" xfId="220" applyFont="1" applyFill="1" applyBorder="1" applyAlignment="1">
      <alignment horizontal="left" indent="1"/>
    </xf>
    <xf numFmtId="0" fontId="14" fillId="28" borderId="50" xfId="220" applyFont="1" applyFill="1" applyBorder="1" applyAlignment="1">
      <alignment horizontal="left" indent="2"/>
    </xf>
    <xf numFmtId="0" fontId="14" fillId="28" borderId="50" xfId="220" applyFont="1" applyFill="1" applyBorder="1">
      <alignment vertical="center"/>
    </xf>
    <xf numFmtId="42" fontId="14" fillId="0" borderId="11" xfId="220" applyNumberFormat="1" applyFont="1" applyFill="1" applyBorder="1" applyProtection="1">
      <alignment vertical="center"/>
      <protection locked="0"/>
    </xf>
    <xf numFmtId="0" fontId="14" fillId="0" borderId="35" xfId="220" applyFont="1" applyFill="1" applyBorder="1" applyProtection="1">
      <alignment vertical="center"/>
      <protection locked="0"/>
    </xf>
    <xf numFmtId="42" fontId="13" fillId="0" borderId="29" xfId="220" applyNumberFormat="1" applyFont="1" applyFill="1" applyBorder="1" applyProtection="1">
      <alignment vertical="center"/>
      <protection locked="0"/>
    </xf>
    <xf numFmtId="0" fontId="13" fillId="0" borderId="70" xfId="220" applyFont="1" applyFill="1" applyBorder="1" applyProtection="1">
      <alignment vertical="center"/>
      <protection locked="0"/>
    </xf>
    <xf numFmtId="42" fontId="13" fillId="0" borderId="70" xfId="220" applyNumberFormat="1" applyFont="1" applyFill="1" applyBorder="1" applyProtection="1">
      <alignment vertical="center"/>
      <protection locked="0"/>
    </xf>
    <xf numFmtId="42" fontId="13" fillId="0" borderId="30" xfId="220" applyNumberFormat="1" applyFont="1" applyFill="1" applyBorder="1" applyProtection="1">
      <alignment vertical="center"/>
      <protection locked="0"/>
    </xf>
    <xf numFmtId="42" fontId="14" fillId="0" borderId="35" xfId="220" applyNumberFormat="1" applyFont="1" applyFill="1" applyBorder="1" applyProtection="1">
      <alignment vertical="center"/>
      <protection locked="0"/>
    </xf>
    <xf numFmtId="0" fontId="14" fillId="0" borderId="66" xfId="220" applyFont="1" applyFill="1" applyBorder="1" applyProtection="1">
      <alignment vertical="center"/>
      <protection locked="0"/>
    </xf>
    <xf numFmtId="0" fontId="14" fillId="0" borderId="34" xfId="220" applyFont="1" applyFill="1" applyBorder="1" applyProtection="1">
      <alignment vertical="center"/>
      <protection locked="0"/>
    </xf>
    <xf numFmtId="42" fontId="13" fillId="0" borderId="33" xfId="220" applyNumberFormat="1" applyFont="1" applyFill="1" applyBorder="1" applyProtection="1">
      <alignment vertical="center"/>
      <protection locked="0"/>
    </xf>
    <xf numFmtId="42" fontId="14" fillId="0" borderId="66" xfId="220" applyNumberFormat="1" applyFont="1" applyFill="1" applyBorder="1" applyProtection="1">
      <alignment vertical="center"/>
      <protection locked="0"/>
    </xf>
    <xf numFmtId="42" fontId="13" fillId="0" borderId="3" xfId="220" applyNumberFormat="1" applyFont="1" applyFill="1" applyBorder="1" applyProtection="1">
      <alignment vertical="center"/>
      <protection locked="0"/>
    </xf>
    <xf numFmtId="42" fontId="14" fillId="0" borderId="34" xfId="220" applyNumberFormat="1" applyFont="1" applyFill="1" applyBorder="1" applyProtection="1">
      <alignment vertical="center"/>
      <protection locked="0"/>
    </xf>
    <xf numFmtId="0" fontId="14" fillId="28" borderId="38" xfId="220" applyFont="1" applyFill="1" applyBorder="1" applyAlignment="1">
      <alignment horizontal="center" wrapText="1"/>
    </xf>
    <xf numFmtId="42" fontId="14" fillId="0" borderId="38" xfId="220" applyNumberFormat="1" applyFont="1" applyFill="1" applyBorder="1" applyProtection="1">
      <alignment vertical="center"/>
      <protection locked="0"/>
    </xf>
    <xf numFmtId="0" fontId="14" fillId="0" borderId="38" xfId="220" applyFont="1" applyFill="1" applyBorder="1" applyProtection="1">
      <alignment vertical="center"/>
      <protection locked="0"/>
    </xf>
    <xf numFmtId="0" fontId="14" fillId="0" borderId="64" xfId="220" applyFont="1" applyFill="1" applyBorder="1" applyProtection="1">
      <alignment vertical="center"/>
      <protection locked="0"/>
    </xf>
    <xf numFmtId="42" fontId="13" fillId="0" borderId="77" xfId="220" applyNumberFormat="1" applyFont="1" applyFill="1" applyBorder="1" applyProtection="1">
      <alignment vertical="center"/>
      <protection locked="0"/>
    </xf>
    <xf numFmtId="42" fontId="14" fillId="0" borderId="64" xfId="220" applyNumberFormat="1" applyFont="1" applyFill="1" applyBorder="1" applyProtection="1">
      <alignment vertical="center"/>
      <protection locked="0"/>
    </xf>
    <xf numFmtId="0" fontId="84" fillId="28" borderId="97" xfId="220" applyFill="1" applyBorder="1">
      <alignment vertical="center"/>
    </xf>
    <xf numFmtId="0" fontId="84" fillId="28" borderId="79" xfId="220" applyFill="1" applyBorder="1">
      <alignment vertical="center"/>
    </xf>
    <xf numFmtId="0" fontId="14" fillId="28" borderId="19" xfId="220" applyFont="1" applyFill="1" applyBorder="1" applyAlignment="1">
      <alignment horizontal="center" wrapText="1"/>
    </xf>
    <xf numFmtId="0" fontId="14" fillId="0" borderId="19" xfId="220" applyFont="1" applyFill="1" applyBorder="1" applyProtection="1">
      <alignment vertical="center"/>
      <protection locked="0"/>
    </xf>
    <xf numFmtId="0" fontId="14" fillId="0" borderId="49" xfId="220" applyFont="1" applyFill="1" applyBorder="1" applyProtection="1">
      <alignment vertical="center"/>
      <protection locked="0"/>
    </xf>
    <xf numFmtId="42" fontId="14" fillId="0" borderId="19" xfId="220" applyNumberFormat="1" applyFont="1" applyFill="1" applyBorder="1" applyProtection="1">
      <alignment vertical="center"/>
      <protection locked="0"/>
    </xf>
    <xf numFmtId="42" fontId="13" fillId="0" borderId="8" xfId="220" applyNumberFormat="1" applyFont="1" applyFill="1" applyBorder="1" applyProtection="1">
      <alignment vertical="center"/>
      <protection locked="0"/>
    </xf>
    <xf numFmtId="42" fontId="14" fillId="0" borderId="49" xfId="220" applyNumberFormat="1" applyFont="1" applyFill="1" applyBorder="1" applyProtection="1">
      <alignment vertical="center"/>
      <protection locked="0"/>
    </xf>
    <xf numFmtId="0" fontId="84" fillId="28" borderId="74" xfId="220" applyFill="1" applyBorder="1">
      <alignment vertical="center"/>
    </xf>
    <xf numFmtId="0" fontId="14" fillId="28" borderId="68" xfId="220" applyFont="1" applyFill="1" applyBorder="1" applyAlignment="1">
      <alignment horizontal="center" wrapText="1"/>
    </xf>
    <xf numFmtId="42" fontId="14" fillId="0" borderId="62" xfId="220" applyNumberFormat="1" applyFont="1" applyFill="1" applyBorder="1" applyProtection="1">
      <alignment vertical="center"/>
      <protection locked="0"/>
    </xf>
    <xf numFmtId="0" fontId="14" fillId="0" borderId="62" xfId="220" applyFont="1" applyFill="1" applyBorder="1">
      <alignment vertical="center"/>
    </xf>
    <xf numFmtId="0" fontId="14" fillId="0" borderId="69" xfId="220" applyFont="1" applyFill="1" applyBorder="1">
      <alignment vertical="center"/>
    </xf>
    <xf numFmtId="42" fontId="14" fillId="0" borderId="69" xfId="220" applyNumberFormat="1" applyFont="1" applyFill="1" applyBorder="1" applyProtection="1">
      <alignment vertical="center"/>
      <protection locked="0"/>
    </xf>
    <xf numFmtId="165" fontId="0" fillId="0" borderId="0" xfId="0" applyNumberFormat="1"/>
    <xf numFmtId="0" fontId="0" fillId="0" borderId="0" xfId="0" applyFont="1" applyFill="1" applyBorder="1"/>
    <xf numFmtId="0" fontId="11" fillId="0" borderId="6" xfId="0" applyFont="1" applyBorder="1" applyAlignment="1">
      <alignment horizontal="left"/>
    </xf>
    <xf numFmtId="3" fontId="62" fillId="0" borderId="6" xfId="0" applyNumberFormat="1" applyFont="1" applyBorder="1"/>
    <xf numFmtId="0" fontId="11" fillId="0" borderId="50" xfId="0" applyFont="1" applyBorder="1"/>
    <xf numFmtId="0" fontId="0" fillId="0" borderId="50" xfId="0" applyBorder="1"/>
    <xf numFmtId="3" fontId="0" fillId="0" borderId="50" xfId="0" applyNumberFormat="1" applyBorder="1" applyAlignment="1">
      <alignment horizontal="center"/>
    </xf>
    <xf numFmtId="3" fontId="0" fillId="0" borderId="50" xfId="0" applyNumberFormat="1" applyBorder="1"/>
    <xf numFmtId="3" fontId="0" fillId="0" borderId="50" xfId="0" applyNumberFormat="1" applyFill="1" applyBorder="1"/>
    <xf numFmtId="0" fontId="62" fillId="0" borderId="13" xfId="0" applyFont="1" applyBorder="1" applyAlignment="1">
      <alignment horizontal="center"/>
    </xf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11" fillId="0" borderId="4" xfId="0" applyFont="1" applyBorder="1" applyAlignment="1">
      <alignment horizontal="center" vertical="center"/>
    </xf>
    <xf numFmtId="183" fontId="11" fillId="0" borderId="18" xfId="72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/>
    </xf>
    <xf numFmtId="0" fontId="73" fillId="0" borderId="17" xfId="0" applyFont="1" applyBorder="1" applyAlignment="1">
      <alignment horizontal="center"/>
    </xf>
    <xf numFmtId="9" fontId="73" fillId="0" borderId="18" xfId="211" applyFont="1" applyBorder="1" applyAlignment="1">
      <alignment horizontal="center"/>
    </xf>
    <xf numFmtId="0" fontId="0" fillId="0" borderId="10" xfId="0" applyBorder="1"/>
    <xf numFmtId="0" fontId="11" fillId="0" borderId="75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73" fillId="0" borderId="17" xfId="0" applyFont="1" applyBorder="1" applyAlignment="1">
      <alignment horizontal="left"/>
    </xf>
    <xf numFmtId="0" fontId="73" fillId="0" borderId="18" xfId="0" applyFont="1" applyBorder="1" applyAlignment="1">
      <alignment horizontal="left"/>
    </xf>
    <xf numFmtId="0" fontId="11" fillId="0" borderId="76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0" fontId="0" fillId="0" borderId="17" xfId="0" applyBorder="1"/>
    <xf numFmtId="180" fontId="73" fillId="0" borderId="17" xfId="0" applyNumberFormat="1" applyFont="1" applyBorder="1" applyAlignment="1">
      <alignment horizontal="center" vertical="center"/>
    </xf>
    <xf numFmtId="180" fontId="73" fillId="0" borderId="13" xfId="0" applyNumberFormat="1" applyFont="1" applyBorder="1" applyAlignment="1">
      <alignment horizontal="center" vertical="center"/>
    </xf>
    <xf numFmtId="9" fontId="11" fillId="0" borderId="5" xfId="0" applyNumberFormat="1" applyFont="1" applyBorder="1" applyAlignment="1">
      <alignment horizontal="center" vertical="center"/>
    </xf>
    <xf numFmtId="0" fontId="86" fillId="3" borderId="8" xfId="0" applyFont="1" applyFill="1" applyBorder="1" applyAlignment="1">
      <alignment horizontal="center" vertical="center" wrapText="1"/>
    </xf>
    <xf numFmtId="0" fontId="71" fillId="3" borderId="14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180" fontId="73" fillId="0" borderId="14" xfId="0" applyNumberFormat="1" applyFont="1" applyBorder="1" applyAlignment="1">
      <alignment horizontal="center" vertical="center"/>
    </xf>
    <xf numFmtId="180" fontId="73" fillId="0" borderId="9" xfId="0" applyNumberFormat="1" applyFont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0" fontId="73" fillId="0" borderId="76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73" fillId="0" borderId="7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 wrapText="1"/>
    </xf>
    <xf numFmtId="0" fontId="27" fillId="0" borderId="24" xfId="0" applyFont="1" applyBorder="1"/>
    <xf numFmtId="3" fontId="0" fillId="0" borderId="25" xfId="0" applyNumberFormat="1" applyBorder="1" applyAlignment="1">
      <alignment horizontal="center" wrapText="1"/>
    </xf>
    <xf numFmtId="3" fontId="0" fillId="0" borderId="65" xfId="0" applyNumberForma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0" fontId="72" fillId="0" borderId="19" xfId="0" applyFont="1" applyBorder="1" applyAlignment="1">
      <alignment horizontal="right"/>
    </xf>
    <xf numFmtId="181" fontId="72" fillId="0" borderId="0" xfId="0" applyNumberFormat="1" applyFont="1" applyAlignment="1">
      <alignment horizontal="center"/>
    </xf>
    <xf numFmtId="0" fontId="27" fillId="0" borderId="21" xfId="0" applyFont="1" applyBorder="1"/>
    <xf numFmtId="10" fontId="0" fillId="0" borderId="22" xfId="0" applyNumberFormat="1" applyBorder="1"/>
    <xf numFmtId="3" fontId="0" fillId="0" borderId="73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80" fontId="72" fillId="0" borderId="0" xfId="0" applyNumberFormat="1" applyFont="1" applyAlignment="1">
      <alignment horizontal="center"/>
    </xf>
    <xf numFmtId="3" fontId="27" fillId="0" borderId="0" xfId="0" applyNumberFormat="1" applyFont="1"/>
    <xf numFmtId="181" fontId="62" fillId="0" borderId="0" xfId="0" applyNumberFormat="1" applyFont="1"/>
    <xf numFmtId="3" fontId="62" fillId="0" borderId="0" xfId="0" applyNumberFormat="1" applyFont="1"/>
    <xf numFmtId="0" fontId="72" fillId="0" borderId="16" xfId="0" applyFont="1" applyBorder="1"/>
    <xf numFmtId="0" fontId="87" fillId="0" borderId="11" xfId="0" applyFont="1" applyBorder="1"/>
    <xf numFmtId="184" fontId="62" fillId="0" borderId="0" xfId="0" applyNumberFormat="1" applyFont="1"/>
    <xf numFmtId="3" fontId="11" fillId="0" borderId="11" xfId="0" applyNumberFormat="1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3" fontId="0" fillId="34" borderId="11" xfId="0" applyNumberFormat="1" applyFill="1" applyBorder="1"/>
    <xf numFmtId="9" fontId="0" fillId="0" borderId="35" xfId="211" applyFont="1" applyBorder="1"/>
    <xf numFmtId="3" fontId="68" fillId="0" borderId="35" xfId="0" applyNumberFormat="1" applyFont="1" applyBorder="1" applyAlignment="1">
      <alignment horizontal="center"/>
    </xf>
    <xf numFmtId="181" fontId="0" fillId="30" borderId="0" xfId="0" applyNumberFormat="1" applyFill="1"/>
    <xf numFmtId="3" fontId="11" fillId="0" borderId="33" xfId="0" applyNumberFormat="1" applyFont="1" applyBorder="1" applyAlignment="1">
      <alignment horizontal="center"/>
    </xf>
    <xf numFmtId="185" fontId="0" fillId="0" borderId="11" xfId="211" applyNumberFormat="1" applyFont="1" applyBorder="1"/>
    <xf numFmtId="0" fontId="0" fillId="29" borderId="0" xfId="0" applyFill="1"/>
    <xf numFmtId="42" fontId="0" fillId="29" borderId="0" xfId="0" applyNumberFormat="1" applyFill="1"/>
    <xf numFmtId="3" fontId="0" fillId="29" borderId="0" xfId="0" applyNumberFormat="1" applyFill="1"/>
    <xf numFmtId="0" fontId="0" fillId="29" borderId="11" xfId="0" applyFill="1" applyBorder="1" applyAlignment="1">
      <alignment horizontal="center"/>
    </xf>
    <xf numFmtId="0" fontId="0" fillId="29" borderId="11" xfId="0" applyFill="1" applyBorder="1"/>
    <xf numFmtId="42" fontId="0" fillId="29" borderId="16" xfId="6" applyFont="1" applyFill="1" applyBorder="1"/>
    <xf numFmtId="0" fontId="0" fillId="29" borderId="19" xfId="0" applyFill="1" applyBorder="1" applyAlignment="1">
      <alignment horizontal="center"/>
    </xf>
    <xf numFmtId="42" fontId="0" fillId="0" borderId="0" xfId="0" applyNumberFormat="1" applyFill="1"/>
    <xf numFmtId="0" fontId="11" fillId="0" borderId="0" xfId="0" applyFont="1" applyFill="1"/>
    <xf numFmtId="0" fontId="59" fillId="0" borderId="11" xfId="212" applyFont="1" applyBorder="1" applyAlignment="1">
      <alignment horizontal="right"/>
    </xf>
    <xf numFmtId="42" fontId="89" fillId="0" borderId="11" xfId="6" applyFont="1" applyFill="1" applyBorder="1"/>
    <xf numFmtId="42" fontId="89" fillId="0" borderId="20" xfId="6" applyFont="1" applyFill="1" applyBorder="1"/>
    <xf numFmtId="3" fontId="89" fillId="0" borderId="0" xfId="3" applyNumberFormat="1" applyFont="1"/>
    <xf numFmtId="0" fontId="59" fillId="0" borderId="11" xfId="212" applyFont="1" applyBorder="1"/>
    <xf numFmtId="3" fontId="89" fillId="0" borderId="11" xfId="3" applyNumberFormat="1" applyFont="1" applyFill="1" applyBorder="1" applyAlignment="1">
      <alignment horizontal="right"/>
    </xf>
    <xf numFmtId="165" fontId="0" fillId="29" borderId="0" xfId="0" applyNumberFormat="1" applyFill="1"/>
    <xf numFmtId="0" fontId="78" fillId="29" borderId="0" xfId="212" applyFill="1"/>
    <xf numFmtId="0" fontId="80" fillId="39" borderId="0" xfId="212" applyFont="1" applyFill="1"/>
    <xf numFmtId="0" fontId="11" fillId="5" borderId="0" xfId="20" applyFont="1" applyFill="1" applyBorder="1" applyAlignment="1">
      <alignment horizontal="center" vertical="center" wrapText="1"/>
    </xf>
    <xf numFmtId="179" fontId="67" fillId="0" borderId="15" xfId="0" applyNumberFormat="1" applyFont="1" applyFill="1" applyBorder="1" applyAlignment="1">
      <alignment horizontal="right" vertical="center"/>
    </xf>
    <xf numFmtId="179" fontId="65" fillId="4" borderId="3" xfId="0" applyNumberFormat="1" applyFont="1" applyFill="1" applyBorder="1" applyAlignment="1">
      <alignment vertical="center" wrapText="1"/>
    </xf>
    <xf numFmtId="0" fontId="75" fillId="4" borderId="4" xfId="0" applyFont="1" applyFill="1" applyBorder="1" applyAlignment="1">
      <alignment vertical="center" wrapText="1"/>
    </xf>
    <xf numFmtId="0" fontId="75" fillId="4" borderId="77" xfId="0" applyFont="1" applyFill="1" applyBorder="1" applyAlignment="1">
      <alignment vertical="center" wrapText="1"/>
    </xf>
    <xf numFmtId="179" fontId="67" fillId="4" borderId="4" xfId="0" applyNumberFormat="1" applyFont="1" applyFill="1" applyBorder="1" applyAlignment="1">
      <alignment horizontal="right" vertical="center"/>
    </xf>
    <xf numFmtId="179" fontId="67" fillId="0" borderId="94" xfId="0" applyNumberFormat="1" applyFont="1" applyFill="1" applyBorder="1" applyAlignment="1">
      <alignment horizontal="right" vertical="center"/>
    </xf>
    <xf numFmtId="179" fontId="66" fillId="0" borderId="93" xfId="0" applyNumberFormat="1" applyFont="1" applyFill="1" applyBorder="1" applyAlignment="1">
      <alignment horizontal="left" vertical="center" wrapText="1"/>
    </xf>
    <xf numFmtId="179" fontId="66" fillId="0" borderId="94" xfId="0" applyNumberFormat="1" applyFont="1" applyFill="1" applyBorder="1" applyAlignment="1">
      <alignment horizontal="left" vertical="center" wrapText="1"/>
    </xf>
    <xf numFmtId="179" fontId="66" fillId="0" borderId="38" xfId="0" applyNumberFormat="1" applyFont="1" applyFill="1" applyBorder="1" applyAlignment="1">
      <alignment horizontal="left" vertical="center" wrapText="1"/>
    </xf>
    <xf numFmtId="179" fontId="66" fillId="0" borderId="93" xfId="0" applyNumberFormat="1" applyFont="1" applyFill="1" applyBorder="1" applyAlignment="1">
      <alignment vertical="center" wrapText="1"/>
    </xf>
    <xf numFmtId="0" fontId="75" fillId="0" borderId="94" xfId="0" applyFont="1" applyBorder="1" applyAlignment="1">
      <alignment vertical="center" wrapText="1"/>
    </xf>
    <xf numFmtId="0" fontId="75" fillId="0" borderId="38" xfId="0" applyFont="1" applyBorder="1" applyAlignment="1">
      <alignment vertical="center" wrapText="1"/>
    </xf>
    <xf numFmtId="179" fontId="77" fillId="35" borderId="17" xfId="66" applyNumberFormat="1" applyFont="1" applyFill="1" applyBorder="1" applyAlignment="1">
      <alignment horizontal="center" vertical="center" wrapText="1"/>
    </xf>
    <xf numFmtId="179" fontId="77" fillId="35" borderId="18" xfId="66" applyNumberFormat="1" applyFont="1" applyFill="1" applyBorder="1" applyAlignment="1">
      <alignment horizontal="center" vertical="center"/>
    </xf>
    <xf numFmtId="179" fontId="77" fillId="35" borderId="13" xfId="66" applyNumberFormat="1" applyFont="1" applyFill="1" applyBorder="1" applyAlignment="1">
      <alignment horizontal="center" vertical="center"/>
    </xf>
    <xf numFmtId="179" fontId="77" fillId="35" borderId="14" xfId="66" applyNumberFormat="1" applyFont="1" applyFill="1" applyBorder="1" applyAlignment="1">
      <alignment horizontal="center" vertical="center"/>
    </xf>
    <xf numFmtId="179" fontId="77" fillId="35" borderId="15" xfId="66" applyNumberFormat="1" applyFont="1" applyFill="1" applyBorder="1" applyAlignment="1">
      <alignment horizontal="center" vertical="center"/>
    </xf>
    <xf numFmtId="179" fontId="77" fillId="35" borderId="9" xfId="66" applyNumberFormat="1" applyFont="1" applyFill="1" applyBorder="1" applyAlignment="1">
      <alignment horizontal="center" vertical="center"/>
    </xf>
    <xf numFmtId="179" fontId="67" fillId="0" borderId="79" xfId="0" applyNumberFormat="1" applyFont="1" applyFill="1" applyBorder="1" applyAlignment="1">
      <alignment horizontal="right" vertical="center"/>
    </xf>
    <xf numFmtId="179" fontId="67" fillId="0" borderId="2" xfId="0" applyNumberFormat="1" applyFont="1" applyFill="1" applyBorder="1" applyAlignment="1">
      <alignment horizontal="right" vertical="center"/>
    </xf>
    <xf numFmtId="179" fontId="67" fillId="0" borderId="0" xfId="0" applyNumberFormat="1" applyFont="1" applyFill="1" applyBorder="1" applyAlignment="1">
      <alignment horizontal="right" vertical="center"/>
    </xf>
    <xf numFmtId="179" fontId="66" fillId="0" borderId="85" xfId="0" applyNumberFormat="1" applyFont="1" applyFill="1" applyBorder="1" applyAlignment="1">
      <alignment vertical="center" wrapText="1"/>
    </xf>
    <xf numFmtId="0" fontId="75" fillId="0" borderId="86" xfId="0" applyFont="1" applyBorder="1" applyAlignment="1">
      <alignment vertical="center" wrapText="1"/>
    </xf>
    <xf numFmtId="0" fontId="75" fillId="0" borderId="87" xfId="0" applyFont="1" applyBorder="1" applyAlignment="1">
      <alignment vertical="center" wrapText="1"/>
    </xf>
    <xf numFmtId="179" fontId="67" fillId="0" borderId="88" xfId="0" applyNumberFormat="1" applyFont="1" applyFill="1" applyBorder="1" applyAlignment="1">
      <alignment horizontal="right" vertical="center"/>
    </xf>
    <xf numFmtId="179" fontId="66" fillId="0" borderId="90" xfId="0" applyNumberFormat="1" applyFont="1" applyFill="1" applyBorder="1" applyAlignment="1">
      <alignment vertical="center" wrapText="1"/>
    </xf>
    <xf numFmtId="0" fontId="75" fillId="0" borderId="91" xfId="0" applyFont="1" applyBorder="1" applyAlignment="1">
      <alignment vertical="center" wrapText="1"/>
    </xf>
    <xf numFmtId="0" fontId="75" fillId="0" borderId="92" xfId="0" applyFont="1" applyBorder="1" applyAlignment="1">
      <alignment vertical="center" wrapText="1"/>
    </xf>
    <xf numFmtId="179" fontId="65" fillId="4" borderId="3" xfId="0" applyNumberFormat="1" applyFont="1" applyFill="1" applyBorder="1" applyAlignment="1">
      <alignment horizontal="left" vertical="center" wrapText="1"/>
    </xf>
    <xf numFmtId="179" fontId="65" fillId="4" borderId="4" xfId="0" applyNumberFormat="1" applyFont="1" applyFill="1" applyBorder="1" applyAlignment="1">
      <alignment horizontal="left" vertical="center" wrapText="1"/>
    </xf>
    <xf numFmtId="179" fontId="65" fillId="4" borderId="77" xfId="0" applyNumberFormat="1" applyFont="1" applyFill="1" applyBorder="1" applyAlignment="1">
      <alignment horizontal="left" vertical="center" wrapText="1"/>
    </xf>
    <xf numFmtId="179" fontId="66" fillId="0" borderId="14" xfId="0" applyNumberFormat="1" applyFont="1" applyFill="1" applyBorder="1" applyAlignment="1">
      <alignment horizontal="left" vertical="center" wrapText="1"/>
    </xf>
    <xf numFmtId="179" fontId="66" fillId="0" borderId="15" xfId="0" applyNumberFormat="1" applyFont="1" applyFill="1" applyBorder="1" applyAlignment="1">
      <alignment horizontal="left" vertical="center" wrapText="1"/>
    </xf>
    <xf numFmtId="0" fontId="75" fillId="0" borderId="94" xfId="0" applyFont="1" applyBorder="1" applyAlignment="1">
      <alignment horizontal="left" vertical="center" wrapText="1"/>
    </xf>
    <xf numFmtId="0" fontId="75" fillId="0" borderId="38" xfId="0" applyFont="1" applyBorder="1" applyAlignment="1">
      <alignment horizontal="left" vertical="center" wrapText="1"/>
    </xf>
    <xf numFmtId="179" fontId="65" fillId="4" borderId="93" xfId="0" applyNumberFormat="1" applyFont="1" applyFill="1" applyBorder="1" applyAlignment="1">
      <alignment horizontal="left" vertical="center"/>
    </xf>
    <xf numFmtId="179" fontId="65" fillId="4" borderId="94" xfId="0" applyNumberFormat="1" applyFont="1" applyFill="1" applyBorder="1" applyAlignment="1">
      <alignment horizontal="left" vertical="center"/>
    </xf>
    <xf numFmtId="179" fontId="65" fillId="4" borderId="38" xfId="0" applyNumberFormat="1" applyFont="1" applyFill="1" applyBorder="1" applyAlignment="1">
      <alignment horizontal="left" vertical="center"/>
    </xf>
    <xf numFmtId="179" fontId="67" fillId="4" borderId="94" xfId="0" applyNumberFormat="1" applyFont="1" applyFill="1" applyBorder="1" applyAlignment="1">
      <alignment horizontal="right" vertical="center"/>
    </xf>
    <xf numFmtId="179" fontId="77" fillId="35" borderId="17" xfId="66" applyNumberFormat="1" applyFont="1" applyFill="1" applyBorder="1" applyAlignment="1">
      <alignment horizontal="center" vertical="center"/>
    </xf>
    <xf numFmtId="179" fontId="66" fillId="0" borderId="97" xfId="0" applyNumberFormat="1" applyFont="1" applyFill="1" applyBorder="1" applyAlignment="1">
      <alignment horizontal="left" vertical="center"/>
    </xf>
    <xf numFmtId="179" fontId="66" fillId="0" borderId="79" xfId="0" applyNumberFormat="1" applyFont="1" applyFill="1" applyBorder="1" applyAlignment="1">
      <alignment horizontal="left" vertical="center"/>
    </xf>
    <xf numFmtId="179" fontId="66" fillId="0" borderId="98" xfId="0" applyNumberFormat="1" applyFont="1" applyFill="1" applyBorder="1" applyAlignment="1">
      <alignment horizontal="left" vertical="center"/>
    </xf>
    <xf numFmtId="179" fontId="66" fillId="0" borderId="93" xfId="0" applyNumberFormat="1" applyFont="1" applyFill="1" applyBorder="1" applyAlignment="1">
      <alignment horizontal="left" vertical="center"/>
    </xf>
    <xf numFmtId="179" fontId="66" fillId="0" borderId="94" xfId="0" applyNumberFormat="1" applyFont="1" applyFill="1" applyBorder="1" applyAlignment="1">
      <alignment horizontal="left" vertical="center"/>
    </xf>
    <xf numFmtId="179" fontId="66" fillId="0" borderId="38" xfId="0" applyNumberFormat="1" applyFont="1" applyFill="1" applyBorder="1" applyAlignment="1">
      <alignment horizontal="left" vertical="center"/>
    </xf>
    <xf numFmtId="0" fontId="70" fillId="0" borderId="14" xfId="0" applyFont="1" applyBorder="1" applyAlignment="1">
      <alignment horizontal="center" wrapText="1"/>
    </xf>
    <xf numFmtId="0" fontId="70" fillId="0" borderId="9" xfId="0" applyFont="1" applyBorder="1" applyAlignment="1">
      <alignment horizontal="center" wrapText="1"/>
    </xf>
    <xf numFmtId="0" fontId="71" fillId="3" borderId="3" xfId="0" applyFont="1" applyFill="1" applyBorder="1" applyAlignment="1">
      <alignment horizontal="center" vertical="center" wrapText="1"/>
    </xf>
    <xf numFmtId="0" fontId="71" fillId="3" borderId="4" xfId="0" applyFont="1" applyFill="1" applyBorder="1" applyAlignment="1">
      <alignment horizontal="center" vertical="center" wrapText="1"/>
    </xf>
    <xf numFmtId="0" fontId="71" fillId="3" borderId="5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/>
    </xf>
    <xf numFmtId="0" fontId="71" fillId="3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2" fillId="0" borderId="13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74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/>
    </xf>
    <xf numFmtId="0" fontId="62" fillId="0" borderId="76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70" fillId="0" borderId="3" xfId="0" applyFont="1" applyBorder="1" applyAlignment="1">
      <alignment horizontal="center" wrapText="1"/>
    </xf>
    <xf numFmtId="0" fontId="70" fillId="0" borderId="5" xfId="0" applyFont="1" applyBorder="1" applyAlignment="1">
      <alignment horizontal="center" wrapText="1"/>
    </xf>
    <xf numFmtId="0" fontId="78" fillId="0" borderId="0" xfId="212" applyAlignment="1">
      <alignment horizontal="left"/>
    </xf>
    <xf numFmtId="0" fontId="79" fillId="0" borderId="0" xfId="212" applyFont="1" applyAlignment="1">
      <alignment horizontal="center"/>
    </xf>
    <xf numFmtId="0" fontId="80" fillId="36" borderId="0" xfId="212" applyFont="1" applyFill="1" applyAlignment="1">
      <alignment horizontal="center"/>
    </xf>
    <xf numFmtId="3" fontId="5" fillId="0" borderId="32" xfId="3" applyNumberFormat="1" applyFont="1" applyFill="1" applyBorder="1"/>
    <xf numFmtId="3" fontId="5" fillId="0" borderId="37" xfId="3" applyNumberFormat="1" applyFont="1" applyFill="1" applyBorder="1"/>
    <xf numFmtId="3" fontId="5" fillId="0" borderId="31" xfId="3" applyNumberFormat="1" applyFont="1" applyFill="1" applyBorder="1"/>
    <xf numFmtId="3" fontId="5" fillId="0" borderId="33" xfId="3" applyNumberFormat="1" applyFont="1" applyFill="1" applyBorder="1"/>
    <xf numFmtId="3" fontId="5" fillId="0" borderId="4" xfId="3" applyNumberFormat="1" applyFont="1" applyFill="1" applyBorder="1"/>
    <xf numFmtId="3" fontId="5" fillId="0" borderId="5" xfId="3" applyNumberFormat="1" applyFont="1" applyFill="1" applyBorder="1"/>
    <xf numFmtId="3" fontId="5" fillId="0" borderId="35" xfId="3" applyNumberFormat="1" applyFont="1" applyFill="1" applyBorder="1"/>
    <xf numFmtId="3" fontId="5" fillId="0" borderId="55" xfId="3" applyNumberFormat="1" applyFont="1" applyFill="1" applyBorder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3" fontId="5" fillId="0" borderId="34" xfId="3" applyNumberFormat="1" applyFont="1" applyFill="1" applyBorder="1"/>
    <xf numFmtId="3" fontId="5" fillId="0" borderId="1" xfId="3" applyNumberFormat="1" applyFont="1" applyFill="1" applyBorder="1"/>
    <xf numFmtId="3" fontId="5" fillId="0" borderId="36" xfId="3" applyNumberFormat="1" applyFont="1" applyFill="1" applyBorder="1"/>
    <xf numFmtId="3" fontId="8" fillId="0" borderId="0" xfId="3" applyNumberFormat="1" applyFont="1" applyAlignment="1">
      <alignment horizontal="center"/>
    </xf>
    <xf numFmtId="3" fontId="5" fillId="0" borderId="11" xfId="3" applyNumberFormat="1" applyFont="1" applyBorder="1"/>
    <xf numFmtId="3" fontId="5" fillId="0" borderId="54" xfId="3" applyNumberFormat="1" applyFont="1" applyFill="1" applyBorder="1"/>
    <xf numFmtId="3" fontId="5" fillId="0" borderId="15" xfId="3" applyNumberFormat="1" applyFont="1" applyFill="1" applyBorder="1"/>
    <xf numFmtId="3" fontId="5" fillId="0" borderId="9" xfId="3" applyNumberFormat="1" applyFont="1" applyFill="1" applyBorder="1"/>
    <xf numFmtId="3" fontId="5" fillId="0" borderId="11" xfId="3" applyNumberFormat="1" applyFont="1" applyFill="1" applyBorder="1"/>
    <xf numFmtId="3" fontId="5" fillId="0" borderId="20" xfId="3" applyNumberFormat="1" applyFont="1" applyFill="1" applyBorder="1"/>
    <xf numFmtId="3" fontId="16" fillId="0" borderId="0" xfId="4" applyNumberFormat="1" applyFont="1" applyFill="1" applyAlignment="1">
      <alignment horizontal="center"/>
    </xf>
    <xf numFmtId="0" fontId="7" fillId="0" borderId="0" xfId="4" applyFont="1" applyFill="1" applyAlignment="1">
      <alignment horizontal="center"/>
    </xf>
    <xf numFmtId="3" fontId="7" fillId="0" borderId="0" xfId="4" applyNumberFormat="1" applyFont="1" applyFill="1" applyAlignment="1">
      <alignment horizontal="center"/>
    </xf>
    <xf numFmtId="0" fontId="14" fillId="28" borderId="100" xfId="220" applyFont="1" applyFill="1" applyBorder="1" applyAlignment="1">
      <alignment vertical="center"/>
    </xf>
    <xf numFmtId="0" fontId="84" fillId="0" borderId="0" xfId="220" applyBorder="1" applyAlignment="1">
      <alignment vertical="center"/>
    </xf>
    <xf numFmtId="0" fontId="84" fillId="0" borderId="6" xfId="220" applyBorder="1" applyAlignment="1">
      <alignment vertical="center"/>
    </xf>
    <xf numFmtId="0" fontId="13" fillId="28" borderId="11" xfId="220" applyFont="1" applyFill="1" applyBorder="1" applyAlignment="1">
      <alignment horizontal="left"/>
    </xf>
    <xf numFmtId="0" fontId="85" fillId="0" borderId="11" xfId="220" applyFont="1" applyBorder="1" applyAlignment="1">
      <alignment vertical="center"/>
    </xf>
    <xf numFmtId="0" fontId="14" fillId="28" borderId="11" xfId="220" applyFont="1" applyFill="1" applyBorder="1" applyAlignment="1">
      <alignment horizontal="left"/>
    </xf>
    <xf numFmtId="0" fontId="84" fillId="0" borderId="11" xfId="220" applyBorder="1" applyAlignment="1">
      <alignment vertical="center"/>
    </xf>
    <xf numFmtId="0" fontId="84" fillId="0" borderId="11" xfId="220" applyFont="1" applyBorder="1" applyAlignment="1">
      <alignment vertical="center"/>
    </xf>
    <xf numFmtId="0" fontId="84" fillId="0" borderId="66" xfId="220" applyFont="1" applyBorder="1" applyAlignment="1">
      <alignment vertical="center"/>
    </xf>
    <xf numFmtId="0" fontId="14" fillId="28" borderId="11" xfId="220" applyFont="1" applyFill="1" applyBorder="1" applyAlignment="1">
      <alignment vertical="center"/>
    </xf>
    <xf numFmtId="0" fontId="14" fillId="28" borderId="35" xfId="220" applyFont="1" applyFill="1" applyBorder="1" applyAlignment="1">
      <alignment vertical="center"/>
    </xf>
    <xf numFmtId="0" fontId="84" fillId="0" borderId="35" xfId="220" applyBorder="1" applyAlignment="1">
      <alignment vertical="center"/>
    </xf>
    <xf numFmtId="0" fontId="14" fillId="28" borderId="11" xfId="220" applyFont="1" applyFill="1" applyBorder="1" applyAlignment="1"/>
    <xf numFmtId="0" fontId="84" fillId="0" borderId="11" xfId="220" applyBorder="1" applyAlignment="1"/>
    <xf numFmtId="0" fontId="84" fillId="0" borderId="66" xfId="220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6" fillId="3" borderId="3" xfId="0" applyFont="1" applyFill="1" applyBorder="1" applyAlignment="1">
      <alignment horizontal="center" vertical="center" wrapText="1"/>
    </xf>
    <xf numFmtId="0" fontId="86" fillId="3" borderId="4" xfId="0" applyFont="1" applyFill="1" applyBorder="1" applyAlignment="1">
      <alignment horizontal="center" vertical="center" wrapText="1"/>
    </xf>
    <xf numFmtId="0" fontId="86" fillId="3" borderId="5" xfId="0" applyFont="1" applyFill="1" applyBorder="1" applyAlignment="1">
      <alignment horizontal="center" vertical="center" wrapText="1"/>
    </xf>
    <xf numFmtId="0" fontId="73" fillId="0" borderId="17" xfId="0" applyFont="1" applyBorder="1" applyAlignment="1">
      <alignment horizontal="center"/>
    </xf>
    <xf numFmtId="0" fontId="73" fillId="0" borderId="13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3" fillId="0" borderId="3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73" fillId="0" borderId="14" xfId="0" applyFont="1" applyBorder="1" applyAlignment="1">
      <alignment horizontal="center"/>
    </xf>
    <xf numFmtId="0" fontId="73" fillId="0" borderId="9" xfId="0" applyFont="1" applyBorder="1" applyAlignment="1">
      <alignment horizontal="center"/>
    </xf>
  </cellXfs>
  <cellStyles count="221">
    <cellStyle name="20% - Énfasis1 2" xfId="29"/>
    <cellStyle name="20% - Énfasis1 3" xfId="154"/>
    <cellStyle name="20% - Énfasis2 2" xfId="30"/>
    <cellStyle name="20% - Énfasis2 3" xfId="155"/>
    <cellStyle name="20% - Énfasis3 2" xfId="31"/>
    <cellStyle name="20% - Énfasis3 3" xfId="156"/>
    <cellStyle name="20% - Énfasis4 2" xfId="32"/>
    <cellStyle name="20% - Énfasis4 3" xfId="157"/>
    <cellStyle name="20% - Énfasis5 2" xfId="33"/>
    <cellStyle name="20% - Énfasis5 3" xfId="158"/>
    <cellStyle name="20% - Énfasis6 2" xfId="34"/>
    <cellStyle name="20% - Énfasis6 3" xfId="159"/>
    <cellStyle name="40% - Énfasis1 2" xfId="35"/>
    <cellStyle name="40% - Énfasis1 3" xfId="160"/>
    <cellStyle name="40% - Énfasis2 2" xfId="36"/>
    <cellStyle name="40% - Énfasis2 3" xfId="161"/>
    <cellStyle name="40% - Énfasis3 2" xfId="37"/>
    <cellStyle name="40% - Énfasis3 3" xfId="162"/>
    <cellStyle name="40% - Énfasis4 2" xfId="38"/>
    <cellStyle name="40% - Énfasis4 3" xfId="163"/>
    <cellStyle name="40% - Énfasis5 2" xfId="39"/>
    <cellStyle name="40% - Énfasis5 3" xfId="164"/>
    <cellStyle name="40% - Énfasis6 2" xfId="40"/>
    <cellStyle name="40% - Énfasis6 3" xfId="165"/>
    <cellStyle name="60% - akcent 1" xfId="5"/>
    <cellStyle name="60% - Énfasis1 2" xfId="41"/>
    <cellStyle name="60% - Énfasis1 3" xfId="166"/>
    <cellStyle name="60% - Énfasis2 2" xfId="42"/>
    <cellStyle name="60% - Énfasis2 3" xfId="167"/>
    <cellStyle name="60% - Énfasis3 2" xfId="43"/>
    <cellStyle name="60% - Énfasis3 3" xfId="168"/>
    <cellStyle name="60% - Énfasis4 2" xfId="44"/>
    <cellStyle name="60% - Énfasis4 3" xfId="169"/>
    <cellStyle name="60% - Énfasis5 2" xfId="45"/>
    <cellStyle name="60% - Énfasis5 3" xfId="170"/>
    <cellStyle name="60% - Énfasis6 2" xfId="46"/>
    <cellStyle name="60% - Énfasis6 3" xfId="171"/>
    <cellStyle name="Advertencia" xfId="47"/>
    <cellStyle name="Buena 2" xfId="172"/>
    <cellStyle name="Buena 3" xfId="173"/>
    <cellStyle name="Calcular" xfId="48"/>
    <cellStyle name="Cálculo 2" xfId="49"/>
    <cellStyle name="Cálculo 3" xfId="174"/>
    <cellStyle name="Celda comprob." xfId="50"/>
    <cellStyle name="Celda de comprobación 2" xfId="51"/>
    <cellStyle name="Celda de comprobación 3" xfId="175"/>
    <cellStyle name="Celda vinculada 2" xfId="52"/>
    <cellStyle name="Celda vinculada 3" xfId="176"/>
    <cellStyle name="Comma_RESPALDO BANCO" xfId="177"/>
    <cellStyle name="Correcto" xfId="53"/>
    <cellStyle name="Currency 2" xfId="7"/>
    <cellStyle name="Encabez. 1" xfId="54"/>
    <cellStyle name="Encabez. 2" xfId="55"/>
    <cellStyle name="Encabezado 3" xfId="56"/>
    <cellStyle name="Encabezado 4 2" xfId="57"/>
    <cellStyle name="Encabezado 4 3" xfId="178"/>
    <cellStyle name="Énfasis1 2" xfId="58"/>
    <cellStyle name="Énfasis1 3" xfId="179"/>
    <cellStyle name="Énfasis2 2" xfId="59"/>
    <cellStyle name="Énfasis2 3" xfId="180"/>
    <cellStyle name="Énfasis3 2" xfId="60"/>
    <cellStyle name="Énfasis3 3" xfId="181"/>
    <cellStyle name="Énfasis4 2" xfId="61"/>
    <cellStyle name="Énfasis4 3" xfId="182"/>
    <cellStyle name="Énfasis5 2" xfId="62"/>
    <cellStyle name="Énfasis5 3" xfId="183"/>
    <cellStyle name="Énfasis6 2" xfId="63"/>
    <cellStyle name="Énfasis6 3" xfId="184"/>
    <cellStyle name="Entrada 2" xfId="64"/>
    <cellStyle name="Entrada 3" xfId="185"/>
    <cellStyle name="Euro" xfId="28"/>
    <cellStyle name="Explicación" xfId="65"/>
    <cellStyle name="Hipervínculo 2" xfId="66"/>
    <cellStyle name="Hipervínculo 3" xfId="67"/>
    <cellStyle name="Hipervínculo 4" xfId="68"/>
    <cellStyle name="Incorrecto 2" xfId="69"/>
    <cellStyle name="Incorrecto 3" xfId="186"/>
    <cellStyle name="Millares [0] 2" xfId="70"/>
    <cellStyle name="Millares [0] 3" xfId="71"/>
    <cellStyle name="Millares [0] 3 2" xfId="187"/>
    <cellStyle name="Millares [0] 4" xfId="214"/>
    <cellStyle name="Millares [0] 5" xfId="213"/>
    <cellStyle name="Millares 10" xfId="72"/>
    <cellStyle name="Millares 11" xfId="73"/>
    <cellStyle name="Millares 12" xfId="215"/>
    <cellStyle name="Millares 2" xfId="8"/>
    <cellStyle name="Millares 2 2" xfId="9"/>
    <cellStyle name="Millares 2 2 2" xfId="74"/>
    <cellStyle name="Millares 2 3" xfId="75"/>
    <cellStyle name="Millares 2 3 2" xfId="76"/>
    <cellStyle name="Millares 2 4" xfId="77"/>
    <cellStyle name="Millares 2 4 2" xfId="78"/>
    <cellStyle name="Millares 2 5" xfId="79"/>
    <cellStyle name="Millares 2 6" xfId="188"/>
    <cellStyle name="Millares 2 7" xfId="216"/>
    <cellStyle name="Millares 3" xfId="10"/>
    <cellStyle name="Millares 3 2" xfId="11"/>
    <cellStyle name="Millares 3 3" xfId="80"/>
    <cellStyle name="Millares 4" xfId="81"/>
    <cellStyle name="Millares 4 2" xfId="82"/>
    <cellStyle name="Millares 5" xfId="83"/>
    <cellStyle name="Millares 5 2" xfId="84"/>
    <cellStyle name="Millares 6" xfId="85"/>
    <cellStyle name="Millares 6 2" xfId="189"/>
    <cellStyle name="Millares 7" xfId="86"/>
    <cellStyle name="Millares 8" xfId="87"/>
    <cellStyle name="Millares 9" xfId="88"/>
    <cellStyle name="Moneda" xfId="1" builtinId="4"/>
    <cellStyle name="Moneda [0]" xfId="6" builtinId="7"/>
    <cellStyle name="Moneda [0] 2" xfId="190"/>
    <cellStyle name="Moneda [0] 2 2" xfId="191"/>
    <cellStyle name="Moneda [0] 3" xfId="192"/>
    <cellStyle name="Moneda [0] 4" xfId="193"/>
    <cellStyle name="Moneda [0] 5" xfId="194"/>
    <cellStyle name="Moneda [0]_Libro2" xfId="26"/>
    <cellStyle name="Moneda 2" xfId="89"/>
    <cellStyle name="Moneda 2 2" xfId="90"/>
    <cellStyle name="Moneda 2 3" xfId="91"/>
    <cellStyle name="Moneda 2 4" xfId="210"/>
    <cellStyle name="Moneda 3" xfId="92"/>
    <cellStyle name="Moneda 3 2" xfId="93"/>
    <cellStyle name="Moneda 4" xfId="94"/>
    <cellStyle name="Moneda 5" xfId="95"/>
    <cellStyle name="Neutral 2" xfId="96"/>
    <cellStyle name="Neutral 3" xfId="195"/>
    <cellStyle name="Normal" xfId="0" builtinId="0"/>
    <cellStyle name="Normal 10" xfId="97"/>
    <cellStyle name="Normal 11" xfId="98"/>
    <cellStyle name="Normal 12" xfId="99"/>
    <cellStyle name="Normal 13" xfId="100"/>
    <cellStyle name="Normal 14" xfId="101"/>
    <cellStyle name="Normal 15" xfId="102"/>
    <cellStyle name="Normal 16" xfId="103"/>
    <cellStyle name="Normal 17" xfId="104"/>
    <cellStyle name="Normal 17 2" xfId="105"/>
    <cellStyle name="Normal 18" xfId="106"/>
    <cellStyle name="Normal 19" xfId="196"/>
    <cellStyle name="Normal 2" xfId="2"/>
    <cellStyle name="Normal 2 2" xfId="12"/>
    <cellStyle name="Normal 2 2 2" xfId="13"/>
    <cellStyle name="Normal 2 2 2 2" xfId="14"/>
    <cellStyle name="Normal 2 2 2 3" xfId="107"/>
    <cellStyle name="Normal 2 2 3" xfId="15"/>
    <cellStyle name="Normal 2 2 4" xfId="108"/>
    <cellStyle name="Normal 2 2 4 2" xfId="109"/>
    <cellStyle name="Normal 2 3" xfId="110"/>
    <cellStyle name="Normal 2 3 2" xfId="16"/>
    <cellStyle name="Normal 2 3 2 2" xfId="17"/>
    <cellStyle name="Normal 2 3 3" xfId="18"/>
    <cellStyle name="Normal 2 4" xfId="19"/>
    <cellStyle name="Normal 2 4 2" xfId="111"/>
    <cellStyle name="Normal 2 5" xfId="112"/>
    <cellStyle name="Normal 2 5 2" xfId="152"/>
    <cellStyle name="Normal 2 6" xfId="113"/>
    <cellStyle name="Normal 2 7" xfId="114"/>
    <cellStyle name="Normal 2 7 2" xfId="115"/>
    <cellStyle name="Normal 2 8" xfId="116"/>
    <cellStyle name="Normal 2_Copia de VENTAS SEPTIEMBRE 2012-1" xfId="197"/>
    <cellStyle name="Normal 20" xfId="217"/>
    <cellStyle name="Normal 21" xfId="218"/>
    <cellStyle name="Normal 22" xfId="212"/>
    <cellStyle name="Normal 3" xfId="3"/>
    <cellStyle name="Normal 3 2" xfId="117"/>
    <cellStyle name="Normal 3 2 2" xfId="118"/>
    <cellStyle name="Normal 3 3" xfId="20"/>
    <cellStyle name="Normal 3 3 2" xfId="21"/>
    <cellStyle name="Normal 3 3 2 2" xfId="119"/>
    <cellStyle name="Normal 3 4" xfId="120"/>
    <cellStyle name="Normal 3 5" xfId="121"/>
    <cellStyle name="Normal 3 6" xfId="198"/>
    <cellStyle name="Normal 4" xfId="122"/>
    <cellStyle name="Normal 4 2" xfId="123"/>
    <cellStyle name="Normal 4 2 2" xfId="124"/>
    <cellStyle name="Normal 4 3" xfId="125"/>
    <cellStyle name="Normal 5" xfId="126"/>
    <cellStyle name="Normal 5 2" xfId="127"/>
    <cellStyle name="Normal 5 3" xfId="22"/>
    <cellStyle name="Normal 6" xfId="23"/>
    <cellStyle name="Normal 6 2" xfId="24"/>
    <cellStyle name="Normal 6 2 2" xfId="128"/>
    <cellStyle name="Normal 6 3" xfId="199"/>
    <cellStyle name="Normal 7" xfId="129"/>
    <cellStyle name="Normal 7 2" xfId="200"/>
    <cellStyle name="Normal 8" xfId="130"/>
    <cellStyle name="Normal 9" xfId="131"/>
    <cellStyle name="Normal 9 2" xfId="132"/>
    <cellStyle name="Normal_balance y estado de resultados clasificado al 31 de Diciembre 2013" xfId="153"/>
    <cellStyle name="Normal_Copia de Flujo Caja tarea grupo labarrera" xfId="4"/>
    <cellStyle name="Normal_Libro2" xfId="25"/>
    <cellStyle name="Normal_Modelo de Información  2010 Final al 05.02.2010" xfId="220"/>
    <cellStyle name="Nota" xfId="133"/>
    <cellStyle name="Nota 2" xfId="134"/>
    <cellStyle name="Notas 2" xfId="135"/>
    <cellStyle name="Notas 3" xfId="201"/>
    <cellStyle name="Porcentaje" xfId="211" builtinId="5"/>
    <cellStyle name="Porcentaje 2" xfId="27"/>
    <cellStyle name="Porcentaje 2 2" xfId="136"/>
    <cellStyle name="Porcentaje 2 3" xfId="137"/>
    <cellStyle name="Porcentaje 3" xfId="138"/>
    <cellStyle name="Porcentaje 3 2" xfId="139"/>
    <cellStyle name="Porcentaje 4" xfId="219"/>
    <cellStyle name="Porcentual 2" xfId="140"/>
    <cellStyle name="Porcentual 2 2" xfId="141"/>
    <cellStyle name="Porcentual 2 2 2" xfId="142"/>
    <cellStyle name="Porcentual 2 3" xfId="143"/>
    <cellStyle name="Porcentual 2 3 2" xfId="144"/>
    <cellStyle name="Salida 2" xfId="145"/>
    <cellStyle name="Salida 3" xfId="202"/>
    <cellStyle name="Texto de advertencia 2" xfId="146"/>
    <cellStyle name="Texto de advertencia 3" xfId="203"/>
    <cellStyle name="Texto explicativo 2" xfId="147"/>
    <cellStyle name="Texto explicativo 3" xfId="204"/>
    <cellStyle name="Título 1 2" xfId="205"/>
    <cellStyle name="Título 2 2" xfId="148"/>
    <cellStyle name="Título 2 3" xfId="206"/>
    <cellStyle name="Título 3 2" xfId="149"/>
    <cellStyle name="Título 3 3" xfId="207"/>
    <cellStyle name="Título 4" xfId="150"/>
    <cellStyle name="Título 5" xfId="208"/>
    <cellStyle name="Total 2" xfId="151"/>
    <cellStyle name="Total 3" xfId="209"/>
  </cellStyles>
  <dxfs count="1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GERENCIA\Gerencia_Operaciones\TEMP\Archivos%20temporales%20de%20Internet\Content.Outlook\Q2W04AWC\F22%20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3/EJERCICIO%202%2014%20D%20N&#176;%203%20%2018032023%20CORREGID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RENTA%20AT%202023/GRUPO%20TERCEROS/GRUPO%20CHRISTIAN/REPARACIONES%20JESSICA%20EIRL%20%20AT%202023%2014%20D3%200105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RANSFORMACION%20DE%20SOCIEDADES%20JULIO%202023/ejercicio%20de%20fusi&#243;n%20por%20absorci&#243;n%2006102023%20CORREGID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ASESORIAS/AVELINO%20BARRAZA%202023/presentacion%20SII%20ONIX/14%20A%20ONIX%20SPA%20AT%202023%20%20al%2025092023%20vista%20con%20la%20fiscalizado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"/>
      <sheetName val="BALANCE 2021  FINAL"/>
      <sheetName val="BALANCE 2022 "/>
      <sheetName val="retiros o dividendos ejercicio"/>
      <sheetName val="BASE IMPONIBLE"/>
      <sheetName val="R19 14 D3"/>
      <sheetName val="R18 14 D3"/>
      <sheetName val="RREE "/>
      <sheetName val="ddjj1909"/>
      <sheetName val="ddjj 1948 inicial"/>
      <sheetName val="ddjj 1948 final"/>
      <sheetName val="ANVERSO"/>
      <sheetName val="F22 AT2023 "/>
      <sheetName val=" R6  14 A-D3-D8"/>
      <sheetName val="R17 14 D3"/>
      <sheetName val="R20 14 D3"/>
      <sheetName val="R21 14 D3"/>
    </sheetNames>
    <sheetDataSet>
      <sheetData sheetId="0"/>
      <sheetData sheetId="1"/>
      <sheetData sheetId="2"/>
      <sheetData sheetId="3">
        <row r="16">
          <cell r="D16"/>
          <cell r="E16"/>
          <cell r="F16"/>
          <cell r="G16"/>
        </row>
      </sheetData>
      <sheetData sheetId="4">
        <row r="18">
          <cell r="F18"/>
        </row>
        <row r="24">
          <cell r="F24"/>
        </row>
        <row r="25">
          <cell r="F25"/>
        </row>
        <row r="47">
          <cell r="G47">
            <v>0</v>
          </cell>
        </row>
      </sheetData>
      <sheetData sheetId="5">
        <row r="25">
          <cell r="L25"/>
          <cell r="M25"/>
          <cell r="N25"/>
          <cell r="O25"/>
          <cell r="P25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0">
          <cell r="L40">
            <v>0</v>
          </cell>
          <cell r="M40"/>
          <cell r="N40"/>
          <cell r="O40"/>
          <cell r="P40"/>
        </row>
        <row r="41">
          <cell r="L41">
            <v>0</v>
          </cell>
          <cell r="M41"/>
          <cell r="N41"/>
          <cell r="O41"/>
          <cell r="P41"/>
        </row>
      </sheetData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8 COLUMNAS"/>
      <sheetName val="RESUMEN RETIROS "/>
      <sheetName val="retiros o dividendos ejercicio"/>
      <sheetName val="BASE IMPONIBLE"/>
      <sheetName val="R17 14 D3"/>
      <sheetName val="R19 14 D3"/>
      <sheetName val="R18 14 D3"/>
      <sheetName val="RREE "/>
      <sheetName val="ddjj 1948 final"/>
      <sheetName val="R20 14 D3"/>
      <sheetName val="R21 14 D3"/>
      <sheetName val=" R6  14 D3"/>
      <sheetName val="F22 AT2023"/>
      <sheetName val="tabla"/>
    </sheetNames>
    <sheetDataSet>
      <sheetData sheetId="0"/>
      <sheetData sheetId="1"/>
      <sheetData sheetId="2">
        <row r="30">
          <cell r="I30">
            <v>1.073</v>
          </cell>
        </row>
      </sheetData>
      <sheetData sheetId="3">
        <row r="18">
          <cell r="F18"/>
        </row>
        <row r="24">
          <cell r="F24"/>
        </row>
        <row r="25">
          <cell r="F25"/>
        </row>
        <row r="47">
          <cell r="G4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Balance 2022 spa A"/>
      <sheetName val="balance 2022  spa B"/>
      <sheetName val="situación patrimonial"/>
      <sheetName val="razon de canje"/>
      <sheetName val="distribución de acciones "/>
      <sheetName val="hoja de trabajo FUSIÓN"/>
      <sheetName val="RTRE 2022 Spa A"/>
      <sheetName val="RTRE 2022 spa B"/>
      <sheetName val="RTRE 2023 Spa A "/>
      <sheetName val="R14 2022 spa A"/>
      <sheetName val="R13 2022 spa A"/>
      <sheetName val="R19 2022 Spa B "/>
      <sheetName val="R18 2022 spa B"/>
      <sheetName val="ACTIVO DEP F spa B"/>
      <sheetName val="ACTIVO DEP T spa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4">
          <cell r="H9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2 14A (2)"/>
      <sheetName val="Balance 2022"/>
      <sheetName val="R14 14A (2)"/>
      <sheetName val="R13 14A (2)"/>
      <sheetName val="R15 14A (2)"/>
      <sheetName val="R16 14A (2)"/>
      <sheetName val="RTRE AT 2023"/>
      <sheetName val="RTRE AT 2022 (2)"/>
      <sheetName val="F22 EMP"/>
      <sheetName val="RLI  final"/>
      <sheetName val="Onix"/>
      <sheetName val="RTRE AT 2022"/>
      <sheetName val="retiros o dividendos ejercicio"/>
      <sheetName val="GTO RECHAZADO"/>
      <sheetName val="R12 14A"/>
      <sheetName val="R14 AT 2022"/>
      <sheetName val="R14 14A"/>
      <sheetName val="R13 14A AT2022"/>
      <sheetName val="R13 14A"/>
      <sheetName val="ddjj1847"/>
      <sheetName val="DJ 1926 seccion B  "/>
      <sheetName val="DJ 1926 seccion C y D"/>
      <sheetName val="ddjj 1948"/>
      <sheetName val=" R6  14 A-D3-D8"/>
      <sheetName val="R15 14A"/>
      <sheetName val="R16 14A"/>
      <sheetName val="ANVERSO"/>
      <sheetName val="ANEXO N°1 (DDJJ 1847)"/>
      <sheetName val="ANEXO N°1 (DDJJ 192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D16"/>
        </row>
      </sheetData>
      <sheetData sheetId="10"/>
      <sheetData sheetId="11"/>
      <sheetData sheetId="12">
        <row r="8">
          <cell r="A8" t="str">
            <v>abril</v>
          </cell>
        </row>
        <row r="10">
          <cell r="A10" t="str">
            <v>junio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91" zoomScaleNormal="91" workbookViewId="0">
      <selection activeCell="D42" sqref="D42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2" width="14" bestFit="1" customWidth="1"/>
  </cols>
  <sheetData>
    <row r="1" spans="1:13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3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3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3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3">
      <c r="A5" s="65" t="s">
        <v>81</v>
      </c>
      <c r="B5" s="58" t="s">
        <v>86</v>
      </c>
      <c r="C5" s="52">
        <v>7400000</v>
      </c>
      <c r="D5" s="52"/>
      <c r="E5" s="52">
        <f>+IF(C5-D5&gt;0,C5-D5,0)</f>
        <v>7400000</v>
      </c>
      <c r="F5" s="52">
        <f>IF((D5-C5)&gt;0,D5-C5,0)</f>
        <v>0</v>
      </c>
      <c r="G5" s="52">
        <f t="shared" ref="G5" si="0">IF(E5&gt;0,E5,0)</f>
        <v>7400000</v>
      </c>
      <c r="H5" s="52">
        <f t="shared" ref="H5" si="1">IF(F5&gt;0,F5,0)</f>
        <v>0</v>
      </c>
      <c r="I5" s="52">
        <v>0</v>
      </c>
      <c r="J5" s="52">
        <v>0</v>
      </c>
    </row>
    <row r="6" spans="1:13">
      <c r="A6" s="65" t="s">
        <v>48</v>
      </c>
      <c r="B6" s="58" t="s">
        <v>49</v>
      </c>
      <c r="C6" s="52">
        <f>+D43+D67+50000000</f>
        <v>1100000000</v>
      </c>
      <c r="D6" s="52">
        <f>+C10+C7+C15+C16+C17+C19+C33+C45+C47-42000000-600000-79-42800000+819079-2460000</f>
        <v>991818200</v>
      </c>
      <c r="E6" s="52">
        <f>+IF(C6-D6&gt;0,C6-D6,0)</f>
        <v>108181800</v>
      </c>
      <c r="F6" s="52">
        <f>IF((D6-C6)&gt;0,D6-C6,0)</f>
        <v>0</v>
      </c>
      <c r="G6" s="52">
        <f t="shared" ref="G6:H31" si="2">IF(E6&gt;0,E6,0)</f>
        <v>108181800</v>
      </c>
      <c r="H6" s="52">
        <f t="shared" si="2"/>
        <v>0</v>
      </c>
      <c r="I6" s="52">
        <v>0</v>
      </c>
      <c r="J6" s="52">
        <v>0</v>
      </c>
    </row>
    <row r="7" spans="1:13">
      <c r="A7" s="65">
        <v>11011</v>
      </c>
      <c r="B7" s="58" t="s">
        <v>51</v>
      </c>
      <c r="C7" s="52">
        <v>50000000</v>
      </c>
      <c r="D7" s="52"/>
      <c r="E7" s="52">
        <f t="shared" ref="E7" si="3">+IF(C7-D7&gt;0,C7-D7,0)</f>
        <v>50000000</v>
      </c>
      <c r="F7" s="52">
        <f t="shared" ref="F7" si="4">IF((D7-C7)&gt;0,D7-C7,0)</f>
        <v>0</v>
      </c>
      <c r="G7" s="52">
        <f t="shared" ref="G7" si="5">IF(E7&gt;0,E7,0)</f>
        <v>50000000</v>
      </c>
      <c r="H7" s="52">
        <f t="shared" ref="H7" si="6">IF(F7&gt;0,F7,0)</f>
        <v>0</v>
      </c>
      <c r="I7" s="52">
        <v>0</v>
      </c>
      <c r="J7" s="52">
        <v>0</v>
      </c>
    </row>
    <row r="8" spans="1:13">
      <c r="A8" s="65">
        <v>11020</v>
      </c>
      <c r="B8" s="58" t="s">
        <v>109</v>
      </c>
      <c r="C8" s="52">
        <v>143000000</v>
      </c>
      <c r="D8" s="52"/>
      <c r="E8" s="52">
        <f t="shared" ref="E8:E31" si="7">+IF(C8-D8&gt;0,C8-D8,0)</f>
        <v>143000000</v>
      </c>
      <c r="F8" s="52">
        <f t="shared" ref="F8:F31" si="8">IF((D8-C8)&gt;0,D8-C8,0)</f>
        <v>0</v>
      </c>
      <c r="G8" s="52">
        <f t="shared" si="2"/>
        <v>143000000</v>
      </c>
      <c r="H8" s="52">
        <f t="shared" si="2"/>
        <v>0</v>
      </c>
      <c r="I8" s="52">
        <v>0</v>
      </c>
      <c r="J8" s="52">
        <v>0</v>
      </c>
    </row>
    <row r="9" spans="1:13" hidden="1">
      <c r="A9" s="65">
        <f>+A8+1</f>
        <v>11021</v>
      </c>
      <c r="B9" s="58" t="s">
        <v>63</v>
      </c>
      <c r="C9" s="52"/>
      <c r="D9" s="52"/>
      <c r="E9" s="52">
        <f t="shared" ref="E9:E28" si="9">+IF(C9-D9&gt;0,C9-D9,0)</f>
        <v>0</v>
      </c>
      <c r="F9" s="52">
        <f t="shared" ref="F9:F28" si="10">IF((D9-C9)&gt;0,D9-C9,0)</f>
        <v>0</v>
      </c>
      <c r="G9" s="52">
        <f t="shared" ref="G9:G28" si="11">IF(E9&gt;0,E9,0)</f>
        <v>0</v>
      </c>
      <c r="H9" s="52">
        <f t="shared" ref="H9:H28" si="12">IF(F9&gt;0,F9,0)</f>
        <v>0</v>
      </c>
      <c r="I9" s="52">
        <v>0</v>
      </c>
      <c r="J9" s="52">
        <v>0</v>
      </c>
    </row>
    <row r="10" spans="1:13">
      <c r="A10" s="65">
        <v>11051</v>
      </c>
      <c r="B10" s="58" t="s">
        <v>52</v>
      </c>
      <c r="C10" s="52">
        <f>680000000+15000000</f>
        <v>695000000</v>
      </c>
      <c r="D10" s="52"/>
      <c r="E10" s="52">
        <f t="shared" si="9"/>
        <v>695000000</v>
      </c>
      <c r="F10" s="52">
        <f t="shared" si="10"/>
        <v>0</v>
      </c>
      <c r="G10" s="52">
        <f t="shared" si="11"/>
        <v>695000000</v>
      </c>
      <c r="H10" s="52">
        <f t="shared" si="12"/>
        <v>0</v>
      </c>
      <c r="I10" s="52">
        <v>0</v>
      </c>
      <c r="J10" s="52">
        <v>0</v>
      </c>
      <c r="M10" s="5"/>
    </row>
    <row r="11" spans="1:13" hidden="1">
      <c r="A11" s="65">
        <v>11071</v>
      </c>
      <c r="B11" s="58" t="s">
        <v>17</v>
      </c>
      <c r="C11" s="52"/>
      <c r="D11" s="52"/>
      <c r="E11" s="52">
        <f t="shared" si="9"/>
        <v>0</v>
      </c>
      <c r="F11" s="52">
        <f t="shared" si="10"/>
        <v>0</v>
      </c>
      <c r="G11" s="52">
        <f t="shared" si="11"/>
        <v>0</v>
      </c>
      <c r="H11" s="52">
        <f t="shared" si="12"/>
        <v>0</v>
      </c>
      <c r="I11" s="52">
        <v>0</v>
      </c>
      <c r="J11" s="52">
        <v>0</v>
      </c>
      <c r="M11" s="5"/>
    </row>
    <row r="12" spans="1:13">
      <c r="A12" s="65">
        <v>12001</v>
      </c>
      <c r="B12" s="58" t="s">
        <v>110</v>
      </c>
      <c r="C12" s="52">
        <v>7200000</v>
      </c>
      <c r="D12" s="52">
        <v>0</v>
      </c>
      <c r="E12" s="52">
        <f t="shared" si="9"/>
        <v>7200000</v>
      </c>
      <c r="F12" s="52">
        <f t="shared" si="10"/>
        <v>0</v>
      </c>
      <c r="G12" s="52">
        <f t="shared" si="11"/>
        <v>7200000</v>
      </c>
      <c r="H12" s="52">
        <f t="shared" si="12"/>
        <v>0</v>
      </c>
      <c r="I12" s="52">
        <v>0</v>
      </c>
      <c r="J12" s="52">
        <v>0</v>
      </c>
      <c r="M12" s="5"/>
    </row>
    <row r="13" spans="1:13">
      <c r="A13" s="65">
        <v>12002</v>
      </c>
      <c r="B13" s="58" t="s">
        <v>53</v>
      </c>
      <c r="C13" s="52">
        <f>+C10*19%</f>
        <v>132050000</v>
      </c>
      <c r="D13" s="52"/>
      <c r="E13" s="52">
        <f t="shared" si="9"/>
        <v>132050000</v>
      </c>
      <c r="F13" s="52">
        <f t="shared" si="10"/>
        <v>0</v>
      </c>
      <c r="G13" s="52">
        <f t="shared" si="11"/>
        <v>132050000</v>
      </c>
      <c r="H13" s="52">
        <f t="shared" si="12"/>
        <v>0</v>
      </c>
      <c r="I13" s="52">
        <v>0</v>
      </c>
      <c r="J13" s="52">
        <v>0</v>
      </c>
      <c r="M13" s="5"/>
    </row>
    <row r="14" spans="1:13" hidden="1">
      <c r="A14" s="65">
        <v>12003</v>
      </c>
      <c r="B14" s="58" t="s">
        <v>114</v>
      </c>
      <c r="C14" s="52"/>
      <c r="D14" s="52"/>
      <c r="E14" s="52">
        <f t="shared" si="9"/>
        <v>0</v>
      </c>
      <c r="F14" s="52">
        <f t="shared" si="10"/>
        <v>0</v>
      </c>
      <c r="G14" s="52">
        <f t="shared" si="11"/>
        <v>0</v>
      </c>
      <c r="H14" s="52">
        <f t="shared" si="12"/>
        <v>0</v>
      </c>
      <c r="I14" s="52">
        <v>0</v>
      </c>
      <c r="J14" s="52">
        <v>0</v>
      </c>
      <c r="M14" s="5"/>
    </row>
    <row r="15" spans="1:13">
      <c r="A15" s="65">
        <v>13001</v>
      </c>
      <c r="B15" s="58" t="s">
        <v>50</v>
      </c>
      <c r="C15" s="52">
        <v>16000000</v>
      </c>
      <c r="D15" s="52"/>
      <c r="E15" s="52">
        <f t="shared" si="9"/>
        <v>16000000</v>
      </c>
      <c r="F15" s="52">
        <f t="shared" si="10"/>
        <v>0</v>
      </c>
      <c r="G15" s="52">
        <f t="shared" si="11"/>
        <v>16000000</v>
      </c>
      <c r="H15" s="52">
        <f t="shared" si="12"/>
        <v>0</v>
      </c>
      <c r="I15" s="52">
        <v>0</v>
      </c>
      <c r="J15" s="52">
        <v>0</v>
      </c>
      <c r="M15" s="5"/>
    </row>
    <row r="16" spans="1:13">
      <c r="A16" s="65" t="s">
        <v>54</v>
      </c>
      <c r="B16" s="58" t="s">
        <v>55</v>
      </c>
      <c r="C16" s="52">
        <v>217260000</v>
      </c>
      <c r="D16" s="52">
        <v>0</v>
      </c>
      <c r="E16" s="52">
        <f t="shared" si="9"/>
        <v>217260000</v>
      </c>
      <c r="F16" s="52">
        <f t="shared" si="10"/>
        <v>0</v>
      </c>
      <c r="G16" s="52">
        <f t="shared" si="11"/>
        <v>217260000</v>
      </c>
      <c r="H16" s="52">
        <f t="shared" si="12"/>
        <v>0</v>
      </c>
      <c r="I16" s="52">
        <v>0</v>
      </c>
      <c r="J16" s="52">
        <v>0</v>
      </c>
      <c r="M16" s="5"/>
    </row>
    <row r="17" spans="1:10">
      <c r="A17" s="65" t="s">
        <v>56</v>
      </c>
      <c r="B17" s="58" t="s">
        <v>57</v>
      </c>
      <c r="C17" s="52">
        <v>37500000</v>
      </c>
      <c r="D17" s="52">
        <v>0</v>
      </c>
      <c r="E17" s="52">
        <f t="shared" si="9"/>
        <v>37500000</v>
      </c>
      <c r="F17" s="52">
        <f t="shared" si="10"/>
        <v>0</v>
      </c>
      <c r="G17" s="52">
        <f t="shared" si="11"/>
        <v>37500000</v>
      </c>
      <c r="H17" s="52">
        <f t="shared" si="12"/>
        <v>0</v>
      </c>
      <c r="I17" s="52">
        <v>0</v>
      </c>
      <c r="J17" s="52">
        <v>0</v>
      </c>
    </row>
    <row r="18" spans="1:10" hidden="1">
      <c r="A18" s="65">
        <v>15010</v>
      </c>
      <c r="B18" s="58" t="s">
        <v>104</v>
      </c>
      <c r="C18" s="52"/>
      <c r="D18" s="52"/>
      <c r="E18" s="52">
        <f t="shared" si="9"/>
        <v>0</v>
      </c>
      <c r="F18" s="52">
        <f t="shared" si="10"/>
        <v>0</v>
      </c>
      <c r="G18" s="52">
        <f t="shared" si="11"/>
        <v>0</v>
      </c>
      <c r="H18" s="52">
        <f t="shared" si="12"/>
        <v>0</v>
      </c>
      <c r="I18" s="52">
        <v>0</v>
      </c>
      <c r="J18" s="52">
        <v>0</v>
      </c>
    </row>
    <row r="19" spans="1:10">
      <c r="A19" s="65">
        <v>15015</v>
      </c>
      <c r="B19" s="58" t="s">
        <v>58</v>
      </c>
      <c r="C19" s="52">
        <v>7000000</v>
      </c>
      <c r="D19" s="52">
        <v>0</v>
      </c>
      <c r="E19" s="52">
        <f t="shared" si="9"/>
        <v>7000000</v>
      </c>
      <c r="F19" s="52">
        <f t="shared" si="10"/>
        <v>0</v>
      </c>
      <c r="G19" s="52">
        <f t="shared" si="11"/>
        <v>7000000</v>
      </c>
      <c r="H19" s="52">
        <f t="shared" si="12"/>
        <v>0</v>
      </c>
      <c r="I19" s="52">
        <v>0</v>
      </c>
      <c r="J19" s="52">
        <v>0</v>
      </c>
    </row>
    <row r="20" spans="1:10" hidden="1">
      <c r="A20" s="65">
        <v>15020</v>
      </c>
      <c r="B20" s="58" t="s">
        <v>15</v>
      </c>
      <c r="C20" s="52"/>
      <c r="D20" s="52"/>
      <c r="E20" s="52">
        <f t="shared" si="9"/>
        <v>0</v>
      </c>
      <c r="F20" s="52">
        <f t="shared" si="10"/>
        <v>0</v>
      </c>
      <c r="G20" s="52">
        <f t="shared" si="11"/>
        <v>0</v>
      </c>
      <c r="H20" s="52">
        <f t="shared" si="12"/>
        <v>0</v>
      </c>
      <c r="I20" s="52">
        <v>0</v>
      </c>
      <c r="J20" s="52">
        <v>0</v>
      </c>
    </row>
    <row r="21" spans="1:10" hidden="1">
      <c r="A21" s="65">
        <v>15031</v>
      </c>
      <c r="B21" s="58" t="s">
        <v>88</v>
      </c>
      <c r="C21" s="52"/>
      <c r="D21" s="52"/>
      <c r="E21" s="52">
        <f t="shared" si="9"/>
        <v>0</v>
      </c>
      <c r="F21" s="52">
        <f t="shared" si="10"/>
        <v>0</v>
      </c>
      <c r="G21" s="52">
        <f t="shared" si="11"/>
        <v>0</v>
      </c>
      <c r="H21" s="52">
        <f t="shared" si="12"/>
        <v>0</v>
      </c>
      <c r="I21" s="52">
        <v>0</v>
      </c>
      <c r="J21" s="52">
        <v>0</v>
      </c>
    </row>
    <row r="22" spans="1:10" hidden="1">
      <c r="A22" s="65">
        <v>15101</v>
      </c>
      <c r="B22" s="58" t="s">
        <v>105</v>
      </c>
      <c r="C22" s="52"/>
      <c r="D22" s="52"/>
      <c r="E22" s="52">
        <f t="shared" si="9"/>
        <v>0</v>
      </c>
      <c r="F22" s="52">
        <f t="shared" si="10"/>
        <v>0</v>
      </c>
      <c r="G22" s="52">
        <f t="shared" si="11"/>
        <v>0</v>
      </c>
      <c r="H22" s="52">
        <f t="shared" si="12"/>
        <v>0</v>
      </c>
      <c r="I22" s="52">
        <v>0</v>
      </c>
      <c r="J22" s="52">
        <v>0</v>
      </c>
    </row>
    <row r="23" spans="1:10" hidden="1">
      <c r="A23" s="65">
        <v>15102</v>
      </c>
      <c r="B23" s="58" t="s">
        <v>106</v>
      </c>
      <c r="C23" s="52"/>
      <c r="D23" s="52"/>
      <c r="E23" s="52">
        <f t="shared" si="9"/>
        <v>0</v>
      </c>
      <c r="F23" s="52">
        <f t="shared" si="10"/>
        <v>0</v>
      </c>
      <c r="G23" s="52">
        <f t="shared" si="11"/>
        <v>0</v>
      </c>
      <c r="H23" s="52">
        <f t="shared" si="12"/>
        <v>0</v>
      </c>
      <c r="I23" s="52">
        <v>0</v>
      </c>
      <c r="J23" s="52">
        <v>0</v>
      </c>
    </row>
    <row r="24" spans="1:10" hidden="1">
      <c r="A24" s="67">
        <v>15410</v>
      </c>
      <c r="B24" s="58" t="s">
        <v>59</v>
      </c>
      <c r="C24" s="52"/>
      <c r="D24" s="52">
        <f>+C62</f>
        <v>0</v>
      </c>
      <c r="E24" s="52">
        <f t="shared" si="9"/>
        <v>0</v>
      </c>
      <c r="F24" s="52">
        <f t="shared" si="10"/>
        <v>0</v>
      </c>
      <c r="G24" s="52">
        <f t="shared" si="11"/>
        <v>0</v>
      </c>
      <c r="H24" s="52">
        <f t="shared" si="12"/>
        <v>0</v>
      </c>
      <c r="I24" s="52">
        <v>0</v>
      </c>
      <c r="J24" s="52">
        <v>0</v>
      </c>
    </row>
    <row r="25" spans="1:10" hidden="1">
      <c r="A25" s="67">
        <v>15420</v>
      </c>
      <c r="B25" s="58" t="s">
        <v>91</v>
      </c>
      <c r="C25" s="52"/>
      <c r="D25" s="52"/>
      <c r="E25" s="52">
        <f t="shared" si="9"/>
        <v>0</v>
      </c>
      <c r="F25" s="52">
        <f t="shared" si="10"/>
        <v>0</v>
      </c>
      <c r="G25" s="52">
        <f t="shared" si="11"/>
        <v>0</v>
      </c>
      <c r="H25" s="52">
        <f t="shared" si="12"/>
        <v>0</v>
      </c>
      <c r="I25" s="52">
        <v>0</v>
      </c>
      <c r="J25" s="52">
        <v>0</v>
      </c>
    </row>
    <row r="26" spans="1:10" hidden="1">
      <c r="A26" s="67">
        <v>18101</v>
      </c>
      <c r="B26" s="58" t="s">
        <v>87</v>
      </c>
      <c r="C26" s="52"/>
      <c r="D26" s="52"/>
      <c r="E26" s="52">
        <f t="shared" si="9"/>
        <v>0</v>
      </c>
      <c r="F26" s="52">
        <f t="shared" si="10"/>
        <v>0</v>
      </c>
      <c r="G26" s="52">
        <f t="shared" si="11"/>
        <v>0</v>
      </c>
      <c r="H26" s="52">
        <f t="shared" si="12"/>
        <v>0</v>
      </c>
      <c r="I26" s="52"/>
      <c r="J26" s="52"/>
    </row>
    <row r="27" spans="1:10">
      <c r="A27" s="67">
        <v>20001</v>
      </c>
      <c r="B27" s="58" t="s">
        <v>98</v>
      </c>
      <c r="C27" s="52"/>
      <c r="D27" s="52">
        <v>42800000</v>
      </c>
      <c r="E27" s="52">
        <f t="shared" si="9"/>
        <v>0</v>
      </c>
      <c r="F27" s="52">
        <f t="shared" si="10"/>
        <v>42800000</v>
      </c>
      <c r="G27" s="52">
        <f t="shared" si="11"/>
        <v>0</v>
      </c>
      <c r="H27" s="52">
        <f t="shared" si="12"/>
        <v>42800000</v>
      </c>
      <c r="I27" s="52"/>
      <c r="J27" s="52"/>
    </row>
    <row r="28" spans="1:10" hidden="1">
      <c r="A28" s="67">
        <v>20021</v>
      </c>
      <c r="B28" s="58" t="s">
        <v>99</v>
      </c>
      <c r="C28" s="52"/>
      <c r="D28" s="52"/>
      <c r="E28" s="52">
        <f t="shared" si="9"/>
        <v>0</v>
      </c>
      <c r="F28" s="52">
        <f t="shared" si="10"/>
        <v>0</v>
      </c>
      <c r="G28" s="52">
        <f t="shared" si="11"/>
        <v>0</v>
      </c>
      <c r="H28" s="52">
        <f t="shared" si="12"/>
        <v>0</v>
      </c>
      <c r="I28" s="52"/>
      <c r="J28" s="52"/>
    </row>
    <row r="29" spans="1:10">
      <c r="A29" s="67">
        <v>20151</v>
      </c>
      <c r="B29" s="58" t="s">
        <v>60</v>
      </c>
      <c r="C29" s="52"/>
      <c r="D29" s="52">
        <f>+D67*19%</f>
        <v>180500000</v>
      </c>
      <c r="E29" s="52">
        <f t="shared" si="7"/>
        <v>0</v>
      </c>
      <c r="F29" s="52">
        <f t="shared" si="8"/>
        <v>180500000</v>
      </c>
      <c r="G29" s="52">
        <f t="shared" si="2"/>
        <v>0</v>
      </c>
      <c r="H29" s="52">
        <f t="shared" si="2"/>
        <v>180500000</v>
      </c>
      <c r="I29" s="52"/>
      <c r="J29" s="52"/>
    </row>
    <row r="30" spans="1:10">
      <c r="A30" s="65" t="s">
        <v>61</v>
      </c>
      <c r="B30" s="58" t="s">
        <v>6</v>
      </c>
      <c r="C30" s="52"/>
      <c r="D30" s="52">
        <v>187410000</v>
      </c>
      <c r="E30" s="52">
        <f t="shared" si="7"/>
        <v>0</v>
      </c>
      <c r="F30" s="52">
        <f t="shared" si="8"/>
        <v>187410000</v>
      </c>
      <c r="G30" s="52">
        <f t="shared" si="2"/>
        <v>0</v>
      </c>
      <c r="H30" s="52">
        <f t="shared" si="2"/>
        <v>187410000</v>
      </c>
      <c r="I30" s="52">
        <v>0</v>
      </c>
      <c r="J30" s="52">
        <v>0</v>
      </c>
    </row>
    <row r="31" spans="1:10">
      <c r="A31" s="65">
        <v>21002</v>
      </c>
      <c r="B31" s="58" t="s">
        <v>62</v>
      </c>
      <c r="C31" s="52"/>
      <c r="D31" s="52">
        <v>15478000</v>
      </c>
      <c r="E31" s="52">
        <f t="shared" si="7"/>
        <v>0</v>
      </c>
      <c r="F31" s="52">
        <f t="shared" si="8"/>
        <v>15478000</v>
      </c>
      <c r="G31" s="52">
        <f t="shared" si="2"/>
        <v>0</v>
      </c>
      <c r="H31" s="52">
        <f t="shared" si="2"/>
        <v>15478000</v>
      </c>
      <c r="I31" s="52">
        <v>0</v>
      </c>
      <c r="J31" s="52">
        <v>0</v>
      </c>
    </row>
    <row r="32" spans="1:10" hidden="1">
      <c r="A32" s="65">
        <v>22001</v>
      </c>
      <c r="B32" s="58" t="s">
        <v>115</v>
      </c>
      <c r="C32" s="52"/>
      <c r="D32" s="52"/>
      <c r="E32" s="52">
        <f t="shared" ref="E32:E45" si="13">+IF(C32-D32&gt;0,C32-D32,0)</f>
        <v>0</v>
      </c>
      <c r="F32" s="52">
        <f t="shared" ref="F32:F45" si="14">IF((D32-C32)&gt;0,D32-C32,0)</f>
        <v>0</v>
      </c>
      <c r="G32" s="52">
        <f t="shared" ref="G32:G45" si="15">IF(E32&gt;0,E32,0)</f>
        <v>0</v>
      </c>
      <c r="H32" s="52">
        <f t="shared" ref="H32:H45" si="16">IF(F32&gt;0,F32,0)</f>
        <v>0</v>
      </c>
      <c r="I32" s="52">
        <v>0</v>
      </c>
      <c r="J32" s="52">
        <v>0</v>
      </c>
    </row>
    <row r="33" spans="1:10">
      <c r="A33" s="65">
        <v>22002</v>
      </c>
      <c r="B33" s="58" t="s">
        <v>108</v>
      </c>
      <c r="C33" s="52">
        <f>5904000-634800+1230000</f>
        <v>6499200</v>
      </c>
      <c r="D33" s="52">
        <f>+'provision vacaciones dos años '!H20+1230000</f>
        <v>7134000</v>
      </c>
      <c r="E33" s="52">
        <f t="shared" si="13"/>
        <v>0</v>
      </c>
      <c r="F33" s="52">
        <f t="shared" si="14"/>
        <v>634800</v>
      </c>
      <c r="G33" s="52">
        <f t="shared" si="15"/>
        <v>0</v>
      </c>
      <c r="H33" s="52">
        <f t="shared" si="16"/>
        <v>634800</v>
      </c>
      <c r="I33" s="52">
        <v>0</v>
      </c>
      <c r="J33" s="52">
        <v>0</v>
      </c>
    </row>
    <row r="34" spans="1:10">
      <c r="A34" s="65">
        <v>22051</v>
      </c>
      <c r="B34" s="58" t="s">
        <v>65</v>
      </c>
      <c r="C34" s="52"/>
      <c r="D34" s="52">
        <v>4500000</v>
      </c>
      <c r="E34" s="52">
        <f t="shared" si="13"/>
        <v>0</v>
      </c>
      <c r="F34" s="52">
        <f t="shared" si="14"/>
        <v>4500000</v>
      </c>
      <c r="G34" s="52">
        <f t="shared" si="15"/>
        <v>0</v>
      </c>
      <c r="H34" s="52">
        <f t="shared" si="16"/>
        <v>4500000</v>
      </c>
      <c r="I34" s="52">
        <v>0</v>
      </c>
      <c r="J34" s="52">
        <v>0</v>
      </c>
    </row>
    <row r="35" spans="1:10" hidden="1">
      <c r="A35" s="66">
        <v>23001</v>
      </c>
      <c r="B35" s="58" t="s">
        <v>95</v>
      </c>
      <c r="C35" s="52"/>
      <c r="D35" s="52"/>
      <c r="E35" s="52">
        <f t="shared" si="13"/>
        <v>0</v>
      </c>
      <c r="F35" s="52">
        <f t="shared" si="14"/>
        <v>0</v>
      </c>
      <c r="G35" s="52">
        <f t="shared" si="15"/>
        <v>0</v>
      </c>
      <c r="H35" s="52">
        <f t="shared" si="16"/>
        <v>0</v>
      </c>
      <c r="I35" s="52">
        <v>0</v>
      </c>
      <c r="J35" s="52">
        <v>0</v>
      </c>
    </row>
    <row r="36" spans="1:10" hidden="1">
      <c r="A36" s="67">
        <v>24001</v>
      </c>
      <c r="B36" s="58" t="s">
        <v>66</v>
      </c>
      <c r="C36" s="52"/>
      <c r="D36" s="52">
        <f>+C53</f>
        <v>0</v>
      </c>
      <c r="E36" s="52">
        <f t="shared" si="13"/>
        <v>0</v>
      </c>
      <c r="F36" s="52">
        <f t="shared" si="14"/>
        <v>0</v>
      </c>
      <c r="G36" s="52">
        <f t="shared" si="15"/>
        <v>0</v>
      </c>
      <c r="H36" s="52">
        <f t="shared" si="16"/>
        <v>0</v>
      </c>
      <c r="I36" s="52">
        <v>0</v>
      </c>
      <c r="J36" s="52">
        <v>0</v>
      </c>
    </row>
    <row r="37" spans="1:10" hidden="1">
      <c r="A37" s="66">
        <v>24002</v>
      </c>
      <c r="B37" s="58" t="s">
        <v>103</v>
      </c>
      <c r="C37" s="52"/>
      <c r="D37" s="52"/>
      <c r="E37" s="52">
        <f t="shared" si="13"/>
        <v>0</v>
      </c>
      <c r="F37" s="52">
        <f t="shared" si="14"/>
        <v>0</v>
      </c>
      <c r="G37" s="52">
        <f t="shared" si="15"/>
        <v>0</v>
      </c>
      <c r="H37" s="52">
        <f t="shared" si="16"/>
        <v>0</v>
      </c>
      <c r="I37" s="52">
        <v>0</v>
      </c>
      <c r="J37" s="52">
        <v>0</v>
      </c>
    </row>
    <row r="38" spans="1:10" hidden="1">
      <c r="A38" s="66">
        <v>24010</v>
      </c>
      <c r="B38" s="58" t="s">
        <v>111</v>
      </c>
      <c r="C38" s="52"/>
      <c r="D38" s="52"/>
      <c r="E38" s="52">
        <f t="shared" si="13"/>
        <v>0</v>
      </c>
      <c r="F38" s="52">
        <f t="shared" si="14"/>
        <v>0</v>
      </c>
      <c r="G38" s="52">
        <f t="shared" si="15"/>
        <v>0</v>
      </c>
      <c r="H38" s="52">
        <f t="shared" si="16"/>
        <v>0</v>
      </c>
      <c r="I38" s="52">
        <v>0</v>
      </c>
      <c r="J38" s="52">
        <v>0</v>
      </c>
    </row>
    <row r="39" spans="1:10" hidden="1">
      <c r="A39" s="65">
        <v>24015</v>
      </c>
      <c r="B39" s="58" t="s">
        <v>64</v>
      </c>
      <c r="C39" s="52"/>
      <c r="D39" s="52"/>
      <c r="E39" s="52">
        <f t="shared" si="13"/>
        <v>0</v>
      </c>
      <c r="F39" s="52">
        <f t="shared" si="14"/>
        <v>0</v>
      </c>
      <c r="G39" s="52">
        <f t="shared" si="15"/>
        <v>0</v>
      </c>
      <c r="H39" s="52">
        <f t="shared" si="16"/>
        <v>0</v>
      </c>
      <c r="I39" s="52">
        <v>0</v>
      </c>
      <c r="J39" s="52">
        <v>0</v>
      </c>
    </row>
    <row r="40" spans="1:10" hidden="1">
      <c r="A40" s="66">
        <v>25001</v>
      </c>
      <c r="B40" s="58" t="s">
        <v>96</v>
      </c>
      <c r="C40" s="52"/>
      <c r="D40" s="52"/>
      <c r="E40" s="52">
        <f t="shared" si="13"/>
        <v>0</v>
      </c>
      <c r="F40" s="52">
        <f t="shared" si="14"/>
        <v>0</v>
      </c>
      <c r="G40" s="52">
        <f t="shared" si="15"/>
        <v>0</v>
      </c>
      <c r="H40" s="52">
        <f t="shared" si="16"/>
        <v>0</v>
      </c>
      <c r="I40" s="52">
        <v>0</v>
      </c>
      <c r="J40" s="52">
        <v>0</v>
      </c>
    </row>
    <row r="41" spans="1:10">
      <c r="A41" s="65">
        <v>33001</v>
      </c>
      <c r="B41" s="58" t="s">
        <v>78</v>
      </c>
      <c r="C41" s="52"/>
      <c r="D41" s="52">
        <v>200000000</v>
      </c>
      <c r="E41" s="52">
        <f t="shared" si="13"/>
        <v>0</v>
      </c>
      <c r="F41" s="52">
        <f t="shared" si="14"/>
        <v>200000000</v>
      </c>
      <c r="G41" s="52">
        <f t="shared" si="15"/>
        <v>0</v>
      </c>
      <c r="H41" s="52">
        <f t="shared" si="16"/>
        <v>200000000</v>
      </c>
      <c r="I41" s="52">
        <v>0</v>
      </c>
      <c r="J41" s="52">
        <v>0</v>
      </c>
    </row>
    <row r="42" spans="1:10">
      <c r="A42" s="65">
        <v>33002</v>
      </c>
      <c r="B42" s="58" t="s">
        <v>79</v>
      </c>
      <c r="C42" s="52">
        <f>+D41</f>
        <v>200000000</v>
      </c>
      <c r="D42" s="52">
        <f>500*200000</f>
        <v>100000000</v>
      </c>
      <c r="E42" s="52">
        <f t="shared" si="13"/>
        <v>100000000</v>
      </c>
      <c r="F42" s="52">
        <f t="shared" si="14"/>
        <v>0</v>
      </c>
      <c r="G42" s="52">
        <f t="shared" si="15"/>
        <v>100000000</v>
      </c>
      <c r="H42" s="52">
        <f t="shared" si="16"/>
        <v>0</v>
      </c>
      <c r="I42" s="52">
        <v>0</v>
      </c>
      <c r="J42" s="52">
        <v>0</v>
      </c>
    </row>
    <row r="43" spans="1:10">
      <c r="A43" s="65">
        <v>33003</v>
      </c>
      <c r="B43" s="58" t="s">
        <v>80</v>
      </c>
      <c r="C43" s="52">
        <v>100000000</v>
      </c>
      <c r="D43" s="52">
        <v>100000000</v>
      </c>
      <c r="E43" s="52">
        <f t="shared" si="13"/>
        <v>0</v>
      </c>
      <c r="F43" s="52">
        <f t="shared" si="14"/>
        <v>0</v>
      </c>
      <c r="G43" s="52">
        <f t="shared" si="15"/>
        <v>0</v>
      </c>
      <c r="H43" s="52">
        <f t="shared" si="16"/>
        <v>0</v>
      </c>
      <c r="I43" s="52">
        <v>0</v>
      </c>
      <c r="J43" s="52">
        <v>0</v>
      </c>
    </row>
    <row r="44" spans="1:10" hidden="1">
      <c r="A44" s="65">
        <v>33011</v>
      </c>
      <c r="B44" s="58" t="s">
        <v>67</v>
      </c>
      <c r="C44" s="52"/>
      <c r="D44" s="52"/>
      <c r="E44" s="52">
        <f t="shared" si="13"/>
        <v>0</v>
      </c>
      <c r="F44" s="52">
        <f t="shared" si="14"/>
        <v>0</v>
      </c>
      <c r="G44" s="52">
        <f t="shared" si="15"/>
        <v>0</v>
      </c>
      <c r="H44" s="52">
        <f t="shared" si="16"/>
        <v>0</v>
      </c>
      <c r="I44" s="52">
        <v>0</v>
      </c>
      <c r="J44" s="52">
        <v>0</v>
      </c>
    </row>
    <row r="45" spans="1:10">
      <c r="A45" s="67">
        <v>34001</v>
      </c>
      <c r="B45" s="58" t="s">
        <v>82</v>
      </c>
      <c r="C45" s="52">
        <v>25000000</v>
      </c>
      <c r="D45" s="52">
        <v>0</v>
      </c>
      <c r="E45" s="52">
        <f t="shared" si="13"/>
        <v>25000000</v>
      </c>
      <c r="F45" s="52">
        <f t="shared" si="14"/>
        <v>0</v>
      </c>
      <c r="G45" s="52">
        <f t="shared" si="15"/>
        <v>25000000</v>
      </c>
      <c r="H45" s="52">
        <f t="shared" si="16"/>
        <v>0</v>
      </c>
      <c r="I45" s="52">
        <v>0</v>
      </c>
      <c r="J45" s="52">
        <v>0</v>
      </c>
    </row>
    <row r="46" spans="1:10" hidden="1">
      <c r="A46" s="67">
        <v>41001</v>
      </c>
      <c r="B46" s="58" t="s">
        <v>101</v>
      </c>
      <c r="C46" s="52"/>
      <c r="D46" s="52"/>
      <c r="E46" s="52">
        <f t="shared" ref="E46" si="17">IF(C46&gt;D46,(C46-D46),0)</f>
        <v>0</v>
      </c>
      <c r="F46" s="52">
        <f t="shared" ref="F46" si="18">IF(D46&gt;C46,D46-C46,0)</f>
        <v>0</v>
      </c>
      <c r="G46" s="52"/>
      <c r="H46" s="52"/>
      <c r="I46" s="52">
        <f t="shared" ref="I46" si="19">IF(E46&gt;F46,E46,0)</f>
        <v>0</v>
      </c>
      <c r="J46" s="52">
        <f t="shared" ref="J46" si="20">IF(F46&gt;E46,F46,0)</f>
        <v>0</v>
      </c>
    </row>
    <row r="47" spans="1:10">
      <c r="A47" s="67">
        <v>42001</v>
      </c>
      <c r="B47" s="58" t="s">
        <v>68</v>
      </c>
      <c r="C47" s="52">
        <f>+'provision vacaciones dos años '!G18</f>
        <v>24600000</v>
      </c>
      <c r="D47" s="52"/>
      <c r="E47" s="52">
        <f t="shared" ref="E47:E67" si="21">IF(C47&gt;D47,(C47-D47),0)</f>
        <v>24600000</v>
      </c>
      <c r="F47" s="52">
        <f t="shared" ref="F47:F67" si="22">IF(D47&gt;C47,D47-C47,0)</f>
        <v>0</v>
      </c>
      <c r="G47" s="52"/>
      <c r="H47" s="52"/>
      <c r="I47" s="52">
        <f t="shared" ref="I47:I67" si="23">IF(E47&gt;F47,E47,0)</f>
        <v>24600000</v>
      </c>
      <c r="J47" s="52">
        <f t="shared" ref="J47:J67" si="24">IF(F47&gt;E47,F47,0)</f>
        <v>0</v>
      </c>
    </row>
    <row r="48" spans="1:10">
      <c r="A48" s="67">
        <v>42002</v>
      </c>
      <c r="B48" s="58" t="s">
        <v>83</v>
      </c>
      <c r="C48" s="52">
        <f>+'provision vacaciones dos años '!G19</f>
        <v>1230000</v>
      </c>
      <c r="D48" s="52"/>
      <c r="E48" s="52">
        <f t="shared" si="21"/>
        <v>1230000</v>
      </c>
      <c r="F48" s="52">
        <f t="shared" si="22"/>
        <v>0</v>
      </c>
      <c r="G48" s="52"/>
      <c r="H48" s="52"/>
      <c r="I48" s="52">
        <f t="shared" si="23"/>
        <v>1230000</v>
      </c>
      <c r="J48" s="52">
        <f t="shared" si="24"/>
        <v>0</v>
      </c>
    </row>
    <row r="49" spans="1:13">
      <c r="A49" s="67">
        <v>42051</v>
      </c>
      <c r="B49" s="58" t="s">
        <v>69</v>
      </c>
      <c r="C49" s="52">
        <v>12345000</v>
      </c>
      <c r="D49" s="52"/>
      <c r="E49" s="52">
        <f t="shared" si="21"/>
        <v>12345000</v>
      </c>
      <c r="F49" s="52">
        <f t="shared" si="22"/>
        <v>0</v>
      </c>
      <c r="G49" s="52"/>
      <c r="H49" s="52"/>
      <c r="I49" s="52">
        <f t="shared" si="23"/>
        <v>12345000</v>
      </c>
      <c r="J49" s="52">
        <f t="shared" si="24"/>
        <v>0</v>
      </c>
    </row>
    <row r="50" spans="1:13" hidden="1">
      <c r="A50" s="67">
        <v>43001</v>
      </c>
      <c r="B50" s="58" t="s">
        <v>102</v>
      </c>
      <c r="C50" s="52"/>
      <c r="D50" s="52"/>
      <c r="E50" s="52">
        <f t="shared" si="21"/>
        <v>0</v>
      </c>
      <c r="F50" s="52">
        <f t="shared" si="22"/>
        <v>0</v>
      </c>
      <c r="G50" s="52"/>
      <c r="H50" s="52"/>
      <c r="I50" s="52">
        <f t="shared" si="23"/>
        <v>0</v>
      </c>
      <c r="J50" s="52">
        <f t="shared" si="24"/>
        <v>0</v>
      </c>
    </row>
    <row r="51" spans="1:13" hidden="1">
      <c r="A51" s="67">
        <v>43002</v>
      </c>
      <c r="B51" s="58" t="s">
        <v>107</v>
      </c>
      <c r="C51" s="52"/>
      <c r="D51" s="52"/>
      <c r="E51" s="52">
        <f t="shared" si="21"/>
        <v>0</v>
      </c>
      <c r="F51" s="52">
        <f t="shared" si="22"/>
        <v>0</v>
      </c>
      <c r="G51" s="52"/>
      <c r="H51" s="52"/>
      <c r="I51" s="52">
        <f t="shared" si="23"/>
        <v>0</v>
      </c>
      <c r="J51" s="52">
        <f t="shared" si="24"/>
        <v>0</v>
      </c>
    </row>
    <row r="52" spans="1:13">
      <c r="A52" s="67" t="s">
        <v>70</v>
      </c>
      <c r="B52" s="58" t="s">
        <v>71</v>
      </c>
      <c r="C52" s="52">
        <v>1980000</v>
      </c>
      <c r="D52" s="52"/>
      <c r="E52" s="52">
        <f t="shared" si="21"/>
        <v>1980000</v>
      </c>
      <c r="F52" s="52">
        <f t="shared" si="22"/>
        <v>0</v>
      </c>
      <c r="G52" s="52"/>
      <c r="H52" s="52"/>
      <c r="I52" s="52">
        <f t="shared" si="23"/>
        <v>1980000</v>
      </c>
      <c r="J52" s="52">
        <f t="shared" si="24"/>
        <v>0</v>
      </c>
    </row>
    <row r="53" spans="1:13" hidden="1">
      <c r="A53" s="67" t="s">
        <v>72</v>
      </c>
      <c r="B53" s="58" t="s">
        <v>73</v>
      </c>
      <c r="C53" s="52"/>
      <c r="D53" s="52"/>
      <c r="E53" s="52">
        <f t="shared" si="21"/>
        <v>0</v>
      </c>
      <c r="F53" s="52">
        <f t="shared" si="22"/>
        <v>0</v>
      </c>
      <c r="G53" s="52"/>
      <c r="H53" s="52"/>
      <c r="I53" s="52">
        <f t="shared" si="23"/>
        <v>0</v>
      </c>
      <c r="J53" s="52">
        <f t="shared" si="24"/>
        <v>0</v>
      </c>
    </row>
    <row r="54" spans="1:13">
      <c r="A54" s="67">
        <v>45101</v>
      </c>
      <c r="B54" s="58" t="s">
        <v>74</v>
      </c>
      <c r="C54" s="52">
        <v>2543000</v>
      </c>
      <c r="D54" s="52"/>
      <c r="E54" s="52">
        <f t="shared" si="21"/>
        <v>2543000</v>
      </c>
      <c r="F54" s="52">
        <f t="shared" si="22"/>
        <v>0</v>
      </c>
      <c r="G54" s="52"/>
      <c r="H54" s="52"/>
      <c r="I54" s="52">
        <f t="shared" si="23"/>
        <v>2543000</v>
      </c>
      <c r="J54" s="52">
        <f t="shared" si="24"/>
        <v>0</v>
      </c>
    </row>
    <row r="55" spans="1:13">
      <c r="A55" s="67">
        <v>46001</v>
      </c>
      <c r="B55" s="58" t="s">
        <v>193</v>
      </c>
      <c r="C55" s="52">
        <v>4000000</v>
      </c>
      <c r="D55" s="52"/>
      <c r="E55" s="52">
        <f t="shared" si="21"/>
        <v>4000000</v>
      </c>
      <c r="F55" s="52">
        <f t="shared" si="22"/>
        <v>0</v>
      </c>
      <c r="G55" s="52"/>
      <c r="H55" s="52"/>
      <c r="I55" s="52">
        <f t="shared" si="23"/>
        <v>4000000</v>
      </c>
      <c r="J55" s="52">
        <f t="shared" si="24"/>
        <v>0</v>
      </c>
    </row>
    <row r="56" spans="1:13" hidden="1">
      <c r="A56" s="67">
        <v>47141</v>
      </c>
      <c r="B56" s="58" t="s">
        <v>85</v>
      </c>
      <c r="C56" s="52"/>
      <c r="D56" s="52"/>
      <c r="E56" s="52">
        <f t="shared" si="21"/>
        <v>0</v>
      </c>
      <c r="F56" s="52">
        <f t="shared" si="22"/>
        <v>0</v>
      </c>
      <c r="G56" s="52"/>
      <c r="H56" s="52"/>
      <c r="I56" s="52">
        <f t="shared" si="23"/>
        <v>0</v>
      </c>
      <c r="J56" s="52">
        <f t="shared" si="24"/>
        <v>0</v>
      </c>
    </row>
    <row r="57" spans="1:13" hidden="1">
      <c r="A57" s="67">
        <v>47151</v>
      </c>
      <c r="B57" s="58" t="s">
        <v>89</v>
      </c>
      <c r="C57" s="52"/>
      <c r="D57" s="52"/>
      <c r="E57" s="52">
        <f t="shared" si="21"/>
        <v>0</v>
      </c>
      <c r="F57" s="52">
        <f t="shared" si="22"/>
        <v>0</v>
      </c>
      <c r="G57" s="52"/>
      <c r="H57" s="52"/>
      <c r="I57" s="52">
        <f t="shared" si="23"/>
        <v>0</v>
      </c>
      <c r="J57" s="52">
        <f t="shared" si="24"/>
        <v>0</v>
      </c>
    </row>
    <row r="58" spans="1:13" hidden="1">
      <c r="A58" s="67">
        <v>47152</v>
      </c>
      <c r="B58" s="58" t="s">
        <v>21</v>
      </c>
      <c r="C58" s="52"/>
      <c r="D58" s="52"/>
      <c r="E58" s="52">
        <f t="shared" si="21"/>
        <v>0</v>
      </c>
      <c r="F58" s="52">
        <f t="shared" si="22"/>
        <v>0</v>
      </c>
      <c r="G58" s="52"/>
      <c r="H58" s="52"/>
      <c r="I58" s="52">
        <f t="shared" si="23"/>
        <v>0</v>
      </c>
      <c r="J58" s="52">
        <f t="shared" si="24"/>
        <v>0</v>
      </c>
    </row>
    <row r="59" spans="1:13" hidden="1">
      <c r="A59" s="67">
        <v>48001</v>
      </c>
      <c r="B59" s="58" t="s">
        <v>90</v>
      </c>
      <c r="C59" s="52"/>
      <c r="D59" s="52"/>
      <c r="E59" s="52">
        <f t="shared" si="21"/>
        <v>0</v>
      </c>
      <c r="F59" s="52">
        <f t="shared" si="22"/>
        <v>0</v>
      </c>
      <c r="G59" s="52"/>
      <c r="H59" s="52"/>
      <c r="I59" s="52">
        <f t="shared" si="23"/>
        <v>0</v>
      </c>
      <c r="J59" s="52">
        <f t="shared" si="24"/>
        <v>0</v>
      </c>
      <c r="M59" s="5"/>
    </row>
    <row r="60" spans="1:13" hidden="1">
      <c r="A60" s="67">
        <v>48101</v>
      </c>
      <c r="B60" s="58" t="s">
        <v>100</v>
      </c>
      <c r="C60" s="52"/>
      <c r="D60" s="52"/>
      <c r="E60" s="52">
        <f t="shared" si="21"/>
        <v>0</v>
      </c>
      <c r="F60" s="52">
        <f t="shared" si="22"/>
        <v>0</v>
      </c>
      <c r="G60" s="52"/>
      <c r="H60" s="52"/>
      <c r="I60" s="52">
        <f t="shared" si="23"/>
        <v>0</v>
      </c>
      <c r="J60" s="52">
        <f t="shared" si="24"/>
        <v>0</v>
      </c>
      <c r="M60" s="5"/>
    </row>
    <row r="61" spans="1:13" hidden="1">
      <c r="A61" s="67">
        <v>48150</v>
      </c>
      <c r="B61" s="58" t="s">
        <v>94</v>
      </c>
      <c r="C61" s="52"/>
      <c r="D61" s="52"/>
      <c r="E61" s="52">
        <f t="shared" si="21"/>
        <v>0</v>
      </c>
      <c r="F61" s="52">
        <f t="shared" si="22"/>
        <v>0</v>
      </c>
      <c r="G61" s="52"/>
      <c r="H61" s="52"/>
      <c r="I61" s="52">
        <f t="shared" si="23"/>
        <v>0</v>
      </c>
      <c r="J61" s="52">
        <f t="shared" si="24"/>
        <v>0</v>
      </c>
      <c r="M61" s="5"/>
    </row>
    <row r="62" spans="1:13" hidden="1">
      <c r="A62" s="67">
        <v>49001</v>
      </c>
      <c r="B62" s="58" t="s">
        <v>92</v>
      </c>
      <c r="C62" s="52"/>
      <c r="D62" s="52"/>
      <c r="E62" s="52">
        <f t="shared" si="21"/>
        <v>0</v>
      </c>
      <c r="F62" s="52">
        <f t="shared" si="22"/>
        <v>0</v>
      </c>
      <c r="G62" s="52"/>
      <c r="H62" s="52"/>
      <c r="I62" s="52">
        <f t="shared" si="23"/>
        <v>0</v>
      </c>
      <c r="J62" s="52">
        <f t="shared" si="24"/>
        <v>0</v>
      </c>
    </row>
    <row r="63" spans="1:13" hidden="1">
      <c r="A63" s="67">
        <v>49101</v>
      </c>
      <c r="B63" s="58" t="s">
        <v>93</v>
      </c>
      <c r="C63" s="52"/>
      <c r="D63" s="52"/>
      <c r="E63" s="52">
        <f t="shared" si="21"/>
        <v>0</v>
      </c>
      <c r="F63" s="52">
        <f t="shared" si="22"/>
        <v>0</v>
      </c>
      <c r="G63" s="52"/>
      <c r="H63" s="52"/>
      <c r="I63" s="52">
        <f t="shared" si="23"/>
        <v>0</v>
      </c>
      <c r="J63" s="52">
        <f t="shared" si="24"/>
        <v>0</v>
      </c>
    </row>
    <row r="64" spans="1:13" hidden="1">
      <c r="A64" s="67">
        <v>49120</v>
      </c>
      <c r="B64" s="58" t="s">
        <v>97</v>
      </c>
      <c r="C64" s="52"/>
      <c r="D64" s="52"/>
      <c r="E64" s="52">
        <f t="shared" si="21"/>
        <v>0</v>
      </c>
      <c r="F64" s="52">
        <f t="shared" si="22"/>
        <v>0</v>
      </c>
      <c r="G64" s="52"/>
      <c r="H64" s="52"/>
      <c r="I64" s="52">
        <f t="shared" si="23"/>
        <v>0</v>
      </c>
      <c r="J64" s="52">
        <f t="shared" si="24"/>
        <v>0</v>
      </c>
    </row>
    <row r="65" spans="1:10">
      <c r="A65" s="67">
        <v>50001</v>
      </c>
      <c r="B65" s="58" t="s">
        <v>75</v>
      </c>
      <c r="C65" s="52"/>
      <c r="D65" s="52">
        <v>3567000</v>
      </c>
      <c r="E65" s="52">
        <f t="shared" si="21"/>
        <v>0</v>
      </c>
      <c r="F65" s="52">
        <f t="shared" si="22"/>
        <v>3567000</v>
      </c>
      <c r="G65" s="52"/>
      <c r="H65" s="52"/>
      <c r="I65" s="52">
        <f t="shared" si="23"/>
        <v>0</v>
      </c>
      <c r="J65" s="52">
        <f t="shared" si="24"/>
        <v>3567000</v>
      </c>
    </row>
    <row r="66" spans="1:10" hidden="1">
      <c r="A66" s="67">
        <v>50051</v>
      </c>
      <c r="B66" s="58" t="s">
        <v>84</v>
      </c>
      <c r="C66" s="52"/>
      <c r="D66" s="52"/>
      <c r="E66" s="52">
        <f t="shared" si="21"/>
        <v>0</v>
      </c>
      <c r="F66" s="52">
        <f t="shared" si="22"/>
        <v>0</v>
      </c>
      <c r="G66" s="52"/>
      <c r="H66" s="52"/>
      <c r="I66" s="52">
        <f t="shared" si="23"/>
        <v>0</v>
      </c>
      <c r="J66" s="52">
        <f t="shared" si="24"/>
        <v>0</v>
      </c>
    </row>
    <row r="67" spans="1:10">
      <c r="A67" s="67">
        <v>51001</v>
      </c>
      <c r="B67" s="58" t="s">
        <v>76</v>
      </c>
      <c r="C67" s="52"/>
      <c r="D67" s="52">
        <v>950000000</v>
      </c>
      <c r="E67" s="52">
        <f t="shared" si="21"/>
        <v>0</v>
      </c>
      <c r="F67" s="52">
        <f t="shared" si="22"/>
        <v>950000000</v>
      </c>
      <c r="G67" s="52"/>
      <c r="H67" s="52"/>
      <c r="I67" s="52">
        <f t="shared" si="23"/>
        <v>0</v>
      </c>
      <c r="J67" s="52">
        <f t="shared" si="24"/>
        <v>950000000</v>
      </c>
    </row>
    <row r="68" spans="1:10" ht="15.75">
      <c r="A68" s="64"/>
      <c r="B68" s="60"/>
      <c r="C68" s="61">
        <f t="shared" ref="C68:J68" si="25">SUM(C6:C67)</f>
        <v>2783207200</v>
      </c>
      <c r="D68" s="61">
        <f t="shared" si="25"/>
        <v>2783207200</v>
      </c>
      <c r="E68" s="61">
        <f t="shared" si="25"/>
        <v>1584889800</v>
      </c>
      <c r="F68" s="61">
        <f t="shared" si="25"/>
        <v>1584889800</v>
      </c>
      <c r="G68" s="61">
        <f t="shared" si="25"/>
        <v>1538191800</v>
      </c>
      <c r="H68" s="61">
        <f t="shared" si="25"/>
        <v>631322800</v>
      </c>
      <c r="I68" s="61">
        <f t="shared" si="25"/>
        <v>46698000</v>
      </c>
      <c r="J68" s="61">
        <f t="shared" si="25"/>
        <v>953567000</v>
      </c>
    </row>
    <row r="69" spans="1:10" ht="15.75">
      <c r="A69" s="65"/>
      <c r="B69" s="62" t="s">
        <v>241</v>
      </c>
      <c r="C69" s="61"/>
      <c r="D69" s="61"/>
      <c r="E69" s="61"/>
      <c r="F69" s="61"/>
      <c r="G69" s="61"/>
      <c r="H69" s="61">
        <f>+G68-H68</f>
        <v>906869000</v>
      </c>
      <c r="I69" s="61">
        <f>+J68-I68</f>
        <v>906869000</v>
      </c>
      <c r="J69" s="61"/>
    </row>
    <row r="70" spans="1:10">
      <c r="A70" s="65"/>
      <c r="B70" s="58" t="s">
        <v>0</v>
      </c>
      <c r="C70" s="59">
        <f>+C68+C69</f>
        <v>2783207200</v>
      </c>
      <c r="D70" s="59">
        <f t="shared" ref="D70:J70" si="26">+D68+D69</f>
        <v>2783207200</v>
      </c>
      <c r="E70" s="59">
        <f t="shared" si="26"/>
        <v>1584889800</v>
      </c>
      <c r="F70" s="59">
        <f t="shared" si="26"/>
        <v>1584889800</v>
      </c>
      <c r="G70" s="59">
        <f t="shared" si="26"/>
        <v>1538191800</v>
      </c>
      <c r="H70" s="59">
        <f t="shared" si="26"/>
        <v>1538191800</v>
      </c>
      <c r="I70" s="59">
        <f t="shared" si="26"/>
        <v>953567000</v>
      </c>
      <c r="J70" s="59">
        <f t="shared" si="26"/>
        <v>953567000</v>
      </c>
    </row>
    <row r="71" spans="1:10">
      <c r="D71" s="5">
        <f>+C70-D70</f>
        <v>0</v>
      </c>
      <c r="E71" s="5"/>
      <c r="F71" s="5">
        <f t="shared" ref="F71" si="27">+E70-F70</f>
        <v>0</v>
      </c>
      <c r="G71" s="5"/>
      <c r="H71" s="5"/>
      <c r="I71" s="5"/>
      <c r="J71" s="5"/>
    </row>
  </sheetData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13" sqref="L13:P13"/>
    </sheetView>
  </sheetViews>
  <sheetFormatPr baseColWidth="10" defaultColWidth="11.5703125" defaultRowHeight="14.2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3" customWidth="1"/>
    <col min="18" max="18" width="4.85546875" style="513" customWidth="1"/>
    <col min="19" max="19" width="9.140625" style="513" customWidth="1"/>
    <col min="20" max="20" width="7" style="513" customWidth="1"/>
    <col min="21" max="21" width="25.8554687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4.85546875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4.85546875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4.85546875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4.85546875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4.85546875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4.85546875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4.85546875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4.85546875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4.85546875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4.85546875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4.85546875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4.85546875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4.85546875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4.85546875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4.85546875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4.85546875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4.85546875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4.85546875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4.85546875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4.85546875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4.85546875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4.85546875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4.85546875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4.85546875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4.85546875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4.85546875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4.85546875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4.85546875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4.85546875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4.85546875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4.85546875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4.85546875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4.85546875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4.85546875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4.85546875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4.85546875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4.85546875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4.85546875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4.85546875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4.85546875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4.85546875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4.85546875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4.85546875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4.85546875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4.85546875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4.85546875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4.85546875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4.85546875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4.85546875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4.85546875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4.85546875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4.85546875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4.85546875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4.85546875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4.85546875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4.85546875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4.85546875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4.85546875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4.85546875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4.85546875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4.85546875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4.85546875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4.85546875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1" ht="15" thickBot="1"/>
    <row r="2" spans="3:21">
      <c r="C2" s="771" t="s">
        <v>609</v>
      </c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6"/>
    </row>
    <row r="3" spans="3:21" ht="15" thickBot="1">
      <c r="C3" s="747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/>
    </row>
    <row r="4" spans="3:21" ht="27" customHeight="1">
      <c r="C4" s="772" t="s">
        <v>607</v>
      </c>
      <c r="D4" s="773"/>
      <c r="E4" s="773"/>
      <c r="F4" s="773"/>
      <c r="G4" s="773"/>
      <c r="H4" s="773"/>
      <c r="I4" s="773"/>
      <c r="J4" s="774"/>
      <c r="K4" s="296">
        <v>1703</v>
      </c>
      <c r="L4" s="750">
        <f>+'R19 los andes at 2023'!L24:P24</f>
        <v>63453127.731092453</v>
      </c>
      <c r="M4" s="750"/>
      <c r="N4" s="750"/>
      <c r="O4" s="750"/>
      <c r="P4" s="750"/>
      <c r="Q4" s="538" t="s">
        <v>424</v>
      </c>
      <c r="S4" s="515" t="s">
        <v>610</v>
      </c>
      <c r="U4" s="515"/>
    </row>
    <row r="5" spans="3:21" ht="27" customHeight="1">
      <c r="C5" s="775" t="s">
        <v>608</v>
      </c>
      <c r="D5" s="776"/>
      <c r="E5" s="776"/>
      <c r="F5" s="776"/>
      <c r="G5" s="776"/>
      <c r="H5" s="776"/>
      <c r="I5" s="776"/>
      <c r="J5" s="777"/>
      <c r="K5" s="301">
        <v>1719</v>
      </c>
      <c r="L5" s="737">
        <f>+'[14]R19 14 D3'!L25:P25</f>
        <v>0</v>
      </c>
      <c r="M5" s="737"/>
      <c r="N5" s="737"/>
      <c r="O5" s="737"/>
      <c r="P5" s="737"/>
      <c r="Q5" s="539" t="s">
        <v>448</v>
      </c>
      <c r="S5" s="515" t="s">
        <v>611</v>
      </c>
      <c r="U5" s="515"/>
    </row>
    <row r="6" spans="3:21" ht="27" customHeight="1">
      <c r="C6" s="738" t="s">
        <v>612</v>
      </c>
      <c r="D6" s="739"/>
      <c r="E6" s="739"/>
      <c r="F6" s="739"/>
      <c r="G6" s="739"/>
      <c r="H6" s="739"/>
      <c r="I6" s="739"/>
      <c r="J6" s="740"/>
      <c r="K6" s="301">
        <v>1492</v>
      </c>
      <c r="L6" s="737"/>
      <c r="M6" s="737"/>
      <c r="N6" s="737"/>
      <c r="O6" s="737"/>
      <c r="P6" s="737"/>
      <c r="Q6" s="540" t="s">
        <v>424</v>
      </c>
    </row>
    <row r="7" spans="3:21" ht="27" customHeight="1">
      <c r="C7" s="738" t="s">
        <v>613</v>
      </c>
      <c r="D7" s="765"/>
      <c r="E7" s="765"/>
      <c r="F7" s="765"/>
      <c r="G7" s="765"/>
      <c r="H7" s="765"/>
      <c r="I7" s="765"/>
      <c r="J7" s="766"/>
      <c r="K7" s="301">
        <v>1704</v>
      </c>
      <c r="L7" s="737">
        <f>+'R19 los andes at 2023'!L16:P16</f>
        <v>25000000</v>
      </c>
      <c r="M7" s="737"/>
      <c r="N7" s="737"/>
      <c r="O7" s="737"/>
      <c r="P7" s="737"/>
      <c r="Q7" s="540" t="s">
        <v>424</v>
      </c>
    </row>
    <row r="8" spans="3:21" ht="27" customHeight="1">
      <c r="C8" s="767" t="s">
        <v>119</v>
      </c>
      <c r="D8" s="768"/>
      <c r="E8" s="768"/>
      <c r="F8" s="768"/>
      <c r="G8" s="768"/>
      <c r="H8" s="768"/>
      <c r="I8" s="768"/>
      <c r="J8" s="769"/>
      <c r="K8" s="364">
        <v>1720</v>
      </c>
      <c r="L8" s="770">
        <f>+L4-L5+L6+L7</f>
        <v>88453127.731092453</v>
      </c>
      <c r="M8" s="770"/>
      <c r="N8" s="770"/>
      <c r="O8" s="770"/>
      <c r="P8" s="770"/>
      <c r="Q8" s="541" t="s">
        <v>422</v>
      </c>
    </row>
    <row r="9" spans="3:21" ht="27" customHeight="1">
      <c r="C9" s="738" t="s">
        <v>614</v>
      </c>
      <c r="D9" s="739"/>
      <c r="E9" s="739"/>
      <c r="F9" s="739"/>
      <c r="G9" s="739"/>
      <c r="H9" s="739"/>
      <c r="I9" s="739"/>
      <c r="J9" s="740"/>
      <c r="K9" s="301">
        <v>1493</v>
      </c>
      <c r="L9" s="737"/>
      <c r="M9" s="737"/>
      <c r="N9" s="737"/>
      <c r="O9" s="737"/>
      <c r="P9" s="737"/>
      <c r="Q9" s="539" t="s">
        <v>448</v>
      </c>
    </row>
    <row r="10" spans="3:21" ht="27" customHeight="1">
      <c r="C10" s="738" t="s">
        <v>615</v>
      </c>
      <c r="D10" s="739"/>
      <c r="E10" s="739"/>
      <c r="F10" s="739"/>
      <c r="G10" s="739"/>
      <c r="H10" s="739"/>
      <c r="I10" s="739"/>
      <c r="J10" s="740"/>
      <c r="K10" s="301">
        <v>1494</v>
      </c>
      <c r="L10" s="737">
        <f>+'R19 los andes at 2023'!L6:P6</f>
        <v>100000000</v>
      </c>
      <c r="M10" s="737"/>
      <c r="N10" s="737"/>
      <c r="O10" s="737"/>
      <c r="P10" s="737"/>
      <c r="Q10" s="539" t="s">
        <v>448</v>
      </c>
    </row>
    <row r="11" spans="3:21" ht="27" customHeight="1">
      <c r="C11" s="738" t="s">
        <v>616</v>
      </c>
      <c r="D11" s="739"/>
      <c r="E11" s="739"/>
      <c r="F11" s="739"/>
      <c r="G11" s="739"/>
      <c r="H11" s="739"/>
      <c r="I11" s="739"/>
      <c r="J11" s="739"/>
      <c r="K11" s="301">
        <v>1725</v>
      </c>
      <c r="L11" s="737"/>
      <c r="M11" s="737"/>
      <c r="N11" s="737"/>
      <c r="O11" s="737"/>
      <c r="P11" s="737"/>
      <c r="Q11" s="539" t="s">
        <v>448</v>
      </c>
    </row>
    <row r="12" spans="3:21" ht="27" customHeight="1" thickBot="1">
      <c r="C12" s="763" t="s">
        <v>617</v>
      </c>
      <c r="D12" s="764"/>
      <c r="E12" s="764"/>
      <c r="F12" s="764"/>
      <c r="G12" s="764"/>
      <c r="H12" s="764"/>
      <c r="I12" s="764"/>
      <c r="J12" s="764"/>
      <c r="K12" s="542">
        <v>1727</v>
      </c>
      <c r="L12" s="732"/>
      <c r="M12" s="732"/>
      <c r="N12" s="732"/>
      <c r="O12" s="732"/>
      <c r="P12" s="732"/>
      <c r="Q12" s="543" t="s">
        <v>448</v>
      </c>
    </row>
    <row r="13" spans="3:21" ht="27" customHeight="1" thickBot="1">
      <c r="C13" s="760" t="s">
        <v>618</v>
      </c>
      <c r="D13" s="761"/>
      <c r="E13" s="761"/>
      <c r="F13" s="761"/>
      <c r="G13" s="761"/>
      <c r="H13" s="761"/>
      <c r="I13" s="761"/>
      <c r="J13" s="762"/>
      <c r="K13" s="351">
        <v>1500</v>
      </c>
      <c r="L13" s="736">
        <f>+L8-L9-L10-L11-L12</f>
        <v>-11546872.268907547</v>
      </c>
      <c r="M13" s="736"/>
      <c r="N13" s="736"/>
      <c r="O13" s="736"/>
      <c r="P13" s="736"/>
      <c r="Q13" s="544" t="s">
        <v>422</v>
      </c>
      <c r="U13" s="545">
        <f>+L13</f>
        <v>-11546872.268907547</v>
      </c>
    </row>
  </sheetData>
  <mergeCells count="21">
    <mergeCell ref="C6:J6"/>
    <mergeCell ref="L6:P6"/>
    <mergeCell ref="C2:Q3"/>
    <mergeCell ref="C4:J4"/>
    <mergeCell ref="L4:P4"/>
    <mergeCell ref="C5:J5"/>
    <mergeCell ref="L5:P5"/>
    <mergeCell ref="C7:J7"/>
    <mergeCell ref="L7:P7"/>
    <mergeCell ref="C8:J8"/>
    <mergeCell ref="L8:P8"/>
    <mergeCell ref="C9:J9"/>
    <mergeCell ref="L9:P9"/>
    <mergeCell ref="C13:J13"/>
    <mergeCell ref="L13:P13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115"/>
  <sheetViews>
    <sheetView topLeftCell="A7" zoomScale="91" zoomScaleNormal="91" workbookViewId="0">
      <pane ySplit="7" topLeftCell="A83" activePane="bottomLeft" state="frozen"/>
      <selection activeCell="A7" sqref="A7"/>
      <selection pane="bottomLeft" activeCell="V113" sqref="V113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0" hidden="1" customWidth="1"/>
    <col min="18" max="18" width="12.5703125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9" max="29" width="12" bestFit="1" customWidth="1"/>
    <col min="30" max="31" width="0" hidden="1" customWidth="1"/>
    <col min="32" max="32" width="15.42578125" hidden="1" customWidth="1"/>
    <col min="33" max="33" width="12.7109375" bestFit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92" t="s">
        <v>502</v>
      </c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792"/>
      <c r="AE8" s="792"/>
      <c r="AF8" s="792"/>
    </row>
    <row r="9" spans="2:37" ht="15.75" thickBot="1">
      <c r="I9" s="5"/>
      <c r="J9" s="5"/>
      <c r="K9" s="5"/>
      <c r="L9" s="5"/>
      <c r="M9" s="5"/>
      <c r="N9" s="5"/>
      <c r="O9" s="5"/>
      <c r="S9" s="790" t="s">
        <v>503</v>
      </c>
      <c r="T9" s="793"/>
      <c r="U9" s="793"/>
      <c r="V9" s="793"/>
      <c r="W9" s="793"/>
      <c r="X9" s="793"/>
      <c r="Y9" s="793"/>
      <c r="Z9" s="793"/>
      <c r="AA9" s="793"/>
      <c r="AB9" s="794" t="s">
        <v>504</v>
      </c>
      <c r="AC9" s="795"/>
      <c r="AD9" s="795"/>
      <c r="AE9" s="795"/>
      <c r="AF9" s="796"/>
      <c r="AG9" s="797" t="s">
        <v>505</v>
      </c>
    </row>
    <row r="10" spans="2:37" ht="26.25" customHeight="1" thickBot="1">
      <c r="B10" s="800" t="s">
        <v>506</v>
      </c>
      <c r="C10" s="417"/>
      <c r="D10" s="418"/>
      <c r="E10" s="803" t="s">
        <v>507</v>
      </c>
      <c r="F10" s="803"/>
      <c r="G10" s="804"/>
      <c r="H10" s="809" t="s">
        <v>508</v>
      </c>
      <c r="I10" s="812" t="s">
        <v>509</v>
      </c>
      <c r="J10" s="812" t="s">
        <v>510</v>
      </c>
      <c r="K10" s="815" t="s">
        <v>511</v>
      </c>
      <c r="L10" s="816"/>
      <c r="M10" s="816"/>
      <c r="N10" s="816"/>
      <c r="O10" s="816"/>
      <c r="P10" s="816"/>
      <c r="Q10" s="816"/>
      <c r="R10" s="816"/>
      <c r="S10" s="787" t="s">
        <v>512</v>
      </c>
      <c r="T10" s="788"/>
      <c r="U10" s="788"/>
      <c r="V10" s="789"/>
      <c r="W10" s="790" t="s">
        <v>513</v>
      </c>
      <c r="X10" s="791"/>
      <c r="Y10" s="790" t="s">
        <v>513</v>
      </c>
      <c r="Z10" s="791"/>
      <c r="AA10" s="420" t="s">
        <v>514</v>
      </c>
      <c r="AB10" s="817" t="s">
        <v>515</v>
      </c>
      <c r="AC10" s="818"/>
      <c r="AD10" s="818"/>
      <c r="AE10" s="819"/>
      <c r="AF10" s="422" t="s">
        <v>514</v>
      </c>
      <c r="AG10" s="798"/>
    </row>
    <row r="11" spans="2:37" ht="26.25" customHeight="1" thickBot="1">
      <c r="B11" s="801"/>
      <c r="C11" s="423"/>
      <c r="D11" s="424"/>
      <c r="E11" s="805"/>
      <c r="F11" s="805"/>
      <c r="G11" s="806"/>
      <c r="H11" s="810"/>
      <c r="I11" s="813"/>
      <c r="J11" s="813"/>
      <c r="K11" s="425"/>
      <c r="L11" s="426"/>
      <c r="M11" s="426"/>
      <c r="N11" s="426"/>
      <c r="O11" s="426"/>
      <c r="P11" s="426"/>
      <c r="Q11" s="426"/>
      <c r="R11" s="427"/>
      <c r="S11" s="820" t="s">
        <v>516</v>
      </c>
      <c r="T11" s="821"/>
      <c r="U11" s="820" t="s">
        <v>517</v>
      </c>
      <c r="V11" s="821"/>
      <c r="W11" s="820" t="s">
        <v>518</v>
      </c>
      <c r="X11" s="821"/>
      <c r="Y11" s="822" t="s">
        <v>519</v>
      </c>
      <c r="Z11" s="823"/>
      <c r="AA11" s="428" t="s">
        <v>520</v>
      </c>
      <c r="AB11" s="429"/>
      <c r="AC11" s="430"/>
      <c r="AD11" s="778" t="s">
        <v>519</v>
      </c>
      <c r="AE11" s="779"/>
      <c r="AF11" s="422" t="s">
        <v>520</v>
      </c>
      <c r="AG11" s="798"/>
    </row>
    <row r="12" spans="2:37" ht="15" customHeight="1" thickBot="1">
      <c r="B12" s="801"/>
      <c r="C12" s="423"/>
      <c r="D12" s="424"/>
      <c r="E12" s="805"/>
      <c r="F12" s="805"/>
      <c r="G12" s="806"/>
      <c r="H12" s="810"/>
      <c r="I12" s="813"/>
      <c r="J12" s="813"/>
      <c r="K12" s="780" t="s">
        <v>521</v>
      </c>
      <c r="L12" s="781"/>
      <c r="M12" s="781"/>
      <c r="N12" s="781"/>
      <c r="O12" s="782"/>
      <c r="P12" s="783" t="s">
        <v>522</v>
      </c>
      <c r="Q12" s="784"/>
      <c r="R12" s="785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98"/>
    </row>
    <row r="13" spans="2:37" s="9" customFormat="1" ht="180.75" thickBot="1">
      <c r="B13" s="802"/>
      <c r="C13" s="439"/>
      <c r="D13" s="440"/>
      <c r="E13" s="807"/>
      <c r="F13" s="807"/>
      <c r="G13" s="808"/>
      <c r="H13" s="811"/>
      <c r="I13" s="814"/>
      <c r="J13" s="814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786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7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99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0</v>
      </c>
      <c r="I14" s="303"/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0</v>
      </c>
      <c r="I16" s="462">
        <f t="shared" ref="I16:AG16" si="0">+I14</f>
        <v>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0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0</v>
      </c>
      <c r="I17" s="467">
        <f>+I16</f>
        <v>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/>
      <c r="F20" s="473"/>
      <c r="G20" s="469"/>
      <c r="H20" s="466">
        <f>SUM(I20:R20)</f>
        <v>0</v>
      </c>
      <c r="I20" s="303">
        <f>+E20</f>
        <v>0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+'[14]BASE IMPONIBLE'!F18+'[14]BASE IMPONIBLE'!F24+'[14]BASE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/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9.5" thickBot="1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9.5" hidden="1" thickBot="1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hidden="1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SUM(I27:R28)</f>
        <v>0</v>
      </c>
      <c r="I27" s="462">
        <f>+I16-I17+I20</f>
        <v>0</v>
      </c>
      <c r="J27" s="462">
        <f>+J16-J18</f>
        <v>0</v>
      </c>
      <c r="K27" s="462">
        <f>+K16-K19+K21</f>
        <v>0</v>
      </c>
      <c r="L27" s="462">
        <f t="shared" ref="L27:AG27" si="2">SUM(L16:L26)</f>
        <v>0</v>
      </c>
      <c r="M27" s="462">
        <f t="shared" si="2"/>
        <v>0</v>
      </c>
      <c r="N27" s="462">
        <f t="shared" si="2"/>
        <v>0</v>
      </c>
      <c r="O27" s="462">
        <f t="shared" si="2"/>
        <v>0</v>
      </c>
      <c r="P27" s="462">
        <f t="shared" si="2"/>
        <v>0</v>
      </c>
      <c r="Q27" s="462">
        <f t="shared" si="2"/>
        <v>0</v>
      </c>
      <c r="R27" s="462">
        <f t="shared" si="2"/>
        <v>0</v>
      </c>
      <c r="S27" s="462">
        <f t="shared" si="2"/>
        <v>0</v>
      </c>
      <c r="T27" s="462">
        <f t="shared" si="2"/>
        <v>0</v>
      </c>
      <c r="U27" s="462">
        <f t="shared" si="2"/>
        <v>0</v>
      </c>
      <c r="V27" s="462">
        <f t="shared" si="2"/>
        <v>0</v>
      </c>
      <c r="W27" s="462">
        <f t="shared" si="2"/>
        <v>0</v>
      </c>
      <c r="X27" s="462">
        <f t="shared" si="2"/>
        <v>0</v>
      </c>
      <c r="Y27" s="462">
        <f t="shared" ref="Y27:Z27" si="3">SUM(Y16:Y26)</f>
        <v>0</v>
      </c>
      <c r="Z27" s="462">
        <f t="shared" si="3"/>
        <v>0</v>
      </c>
      <c r="AA27" s="462">
        <f t="shared" si="2"/>
        <v>0</v>
      </c>
      <c r="AB27" s="462">
        <f t="shared" si="2"/>
        <v>0</v>
      </c>
      <c r="AC27" s="462">
        <f t="shared" si="2"/>
        <v>0</v>
      </c>
      <c r="AD27" s="462">
        <f t="shared" ref="AD27:AE27" si="4">SUM(AD16:AD26)</f>
        <v>0</v>
      </c>
      <c r="AE27" s="462">
        <f t="shared" si="4"/>
        <v>0</v>
      </c>
      <c r="AF27" s="462">
        <f t="shared" si="2"/>
        <v>0</v>
      </c>
      <c r="AG27" s="462">
        <f t="shared" si="2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s="9" customFormat="1" ht="18.75">
      <c r="B29" s="468" t="s">
        <v>552</v>
      </c>
      <c r="C29" s="490"/>
      <c r="D29" s="468"/>
      <c r="E29" s="487"/>
      <c r="F29" s="491"/>
      <c r="G29" s="469"/>
      <c r="H29" s="466"/>
      <c r="I29" s="492"/>
      <c r="J29" s="493"/>
      <c r="K29" s="487"/>
      <c r="L29" s="493"/>
      <c r="M29" s="493"/>
      <c r="N29" s="493"/>
      <c r="O29" s="493"/>
      <c r="P29" s="493"/>
      <c r="Q29" s="493"/>
      <c r="R29" s="493"/>
      <c r="S29" s="494"/>
      <c r="T29" s="494"/>
      <c r="U29" s="494"/>
      <c r="V29" s="477"/>
      <c r="W29" s="492"/>
      <c r="X29" s="492"/>
      <c r="Y29" s="493"/>
      <c r="Z29" s="493"/>
      <c r="AA29" s="493"/>
      <c r="AB29" s="493"/>
      <c r="AC29" s="493"/>
      <c r="AD29" s="493"/>
      <c r="AE29" s="493"/>
      <c r="AF29" s="493"/>
      <c r="AG29" s="493"/>
      <c r="AH29" s="455"/>
      <c r="AI29" s="485" t="s">
        <v>553</v>
      </c>
      <c r="AJ29" s="485">
        <f>+AJ27+AJ28</f>
        <v>0</v>
      </c>
    </row>
    <row r="30" spans="2:36" ht="18.75">
      <c r="B30" s="468" t="s">
        <v>552</v>
      </c>
      <c r="C30" s="490"/>
      <c r="D30" s="468"/>
      <c r="E30" s="487"/>
      <c r="F30" s="474"/>
      <c r="G30" s="474"/>
      <c r="H30" s="466"/>
      <c r="I30" s="492"/>
      <c r="J30" s="487"/>
      <c r="K30" s="487"/>
      <c r="L30" s="487"/>
      <c r="M30" s="487"/>
      <c r="N30" s="487"/>
      <c r="O30" s="487"/>
      <c r="P30" s="487"/>
      <c r="Q30" s="487"/>
      <c r="R30" s="487"/>
      <c r="S30" s="488"/>
      <c r="T30" s="488"/>
      <c r="U30" s="488"/>
      <c r="V30" s="477"/>
      <c r="W30" s="492"/>
      <c r="X30" s="492"/>
      <c r="Y30" s="487"/>
      <c r="Z30" s="487"/>
      <c r="AA30" s="487"/>
      <c r="AB30" s="487"/>
      <c r="AC30" s="487"/>
      <c r="AD30" s="487"/>
      <c r="AE30" s="487"/>
      <c r="AF30" s="487"/>
      <c r="AG30" s="487"/>
      <c r="AI30" s="489" t="s">
        <v>505</v>
      </c>
      <c r="AJ30" s="489">
        <f>+AG27</f>
        <v>0</v>
      </c>
    </row>
    <row r="31" spans="2:36" ht="18.75" hidden="1">
      <c r="B31" s="468" t="s">
        <v>552</v>
      </c>
      <c r="C31" s="490"/>
      <c r="D31" s="468"/>
      <c r="E31" s="487"/>
      <c r="F31" s="474"/>
      <c r="G31" s="474"/>
      <c r="H31" s="466"/>
      <c r="I31" s="492"/>
      <c r="J31" s="487"/>
      <c r="K31" s="487"/>
      <c r="L31" s="487"/>
      <c r="M31" s="487"/>
      <c r="N31" s="487"/>
      <c r="O31" s="487"/>
      <c r="P31" s="487"/>
      <c r="Q31" s="487"/>
      <c r="R31" s="487"/>
      <c r="S31" s="488"/>
      <c r="T31" s="488"/>
      <c r="U31" s="488"/>
      <c r="V31" s="477"/>
      <c r="W31" s="492"/>
      <c r="X31" s="492"/>
      <c r="Y31" s="487"/>
      <c r="Z31" s="487"/>
      <c r="AA31" s="487"/>
      <c r="AB31" s="487"/>
      <c r="AC31" s="487"/>
      <c r="AD31" s="487"/>
      <c r="AE31" s="487"/>
      <c r="AF31" s="487"/>
      <c r="AG31" s="487"/>
      <c r="AI31" s="489" t="s">
        <v>555</v>
      </c>
      <c r="AJ31" s="495" t="e">
        <f>+AJ29/AJ30</f>
        <v>#DIV/0!</v>
      </c>
    </row>
    <row r="32" spans="2:36" ht="18.75" hidden="1">
      <c r="B32" s="468" t="s">
        <v>552</v>
      </c>
      <c r="C32" s="490"/>
      <c r="D32" s="468"/>
      <c r="E32" s="487"/>
      <c r="F32" s="474"/>
      <c r="G32" s="474"/>
      <c r="H32" s="466"/>
      <c r="I32" s="492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77"/>
      <c r="W32" s="492"/>
      <c r="X32" s="492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ht="18.75" hidden="1">
      <c r="B33" s="468" t="s">
        <v>552</v>
      </c>
      <c r="C33" s="490"/>
      <c r="D33" s="468"/>
      <c r="E33" s="487"/>
      <c r="F33" s="474"/>
      <c r="G33" s="474"/>
      <c r="H33" s="466"/>
      <c r="I33" s="492"/>
      <c r="J33" s="487"/>
      <c r="K33" s="487"/>
      <c r="L33" s="487"/>
      <c r="M33" s="487"/>
      <c r="N33" s="487"/>
      <c r="O33" s="487"/>
      <c r="P33" s="487"/>
      <c r="Q33" s="487"/>
      <c r="R33" s="487"/>
      <c r="S33" s="488"/>
      <c r="T33" s="488"/>
      <c r="U33" s="488"/>
      <c r="V33" s="477"/>
      <c r="W33" s="492"/>
      <c r="X33" s="492"/>
      <c r="Y33" s="487"/>
      <c r="Z33" s="487"/>
      <c r="AA33" s="487"/>
      <c r="AB33" s="487"/>
      <c r="AC33" s="487"/>
      <c r="AD33" s="487"/>
      <c r="AE33" s="487"/>
      <c r="AF33" s="487"/>
      <c r="AG33" s="487"/>
      <c r="AI33" s="5"/>
      <c r="AJ33" s="5"/>
    </row>
    <row r="34" spans="2:36" ht="18.75" hidden="1">
      <c r="B34" s="468" t="s">
        <v>552</v>
      </c>
      <c r="C34" s="490"/>
      <c r="D34" s="468"/>
      <c r="E34" s="487"/>
      <c r="F34" s="474"/>
      <c r="G34" s="474"/>
      <c r="H34" s="466"/>
      <c r="I34" s="492"/>
      <c r="J34" s="487"/>
      <c r="K34" s="487"/>
      <c r="L34" s="487"/>
      <c r="M34" s="487"/>
      <c r="N34" s="487"/>
      <c r="O34" s="487"/>
      <c r="P34" s="487"/>
      <c r="Q34" s="487"/>
      <c r="R34" s="487"/>
      <c r="S34" s="488"/>
      <c r="T34" s="488"/>
      <c r="U34" s="488"/>
      <c r="V34" s="477"/>
      <c r="W34" s="492"/>
      <c r="X34" s="492"/>
      <c r="Y34" s="487"/>
      <c r="Z34" s="487"/>
      <c r="AA34" s="487"/>
      <c r="AB34" s="487"/>
      <c r="AC34" s="487"/>
      <c r="AD34" s="487"/>
      <c r="AE34" s="487"/>
      <c r="AF34" s="487"/>
      <c r="AG34" s="487"/>
      <c r="AI34" s="5"/>
      <c r="AJ34" s="5"/>
    </row>
    <row r="35" spans="2:36" ht="18.75">
      <c r="B35" s="468" t="s">
        <v>559</v>
      </c>
      <c r="C35" s="490"/>
      <c r="D35" s="468"/>
      <c r="E35" s="487"/>
      <c r="F35" s="474"/>
      <c r="G35" s="474"/>
      <c r="H35" s="466"/>
      <c r="I35" s="492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88"/>
      <c r="U35" s="488"/>
      <c r="V35" s="477"/>
      <c r="W35" s="492"/>
      <c r="X35" s="492"/>
      <c r="Y35" s="487"/>
      <c r="Z35" s="487"/>
      <c r="AA35" s="487"/>
      <c r="AB35" s="487"/>
      <c r="AC35" s="487"/>
      <c r="AD35" s="487"/>
      <c r="AE35" s="487"/>
      <c r="AF35" s="487"/>
      <c r="AG35" s="487"/>
      <c r="AI35" s="5"/>
      <c r="AJ35" s="5"/>
    </row>
    <row r="36" spans="2:36" ht="18.75">
      <c r="B36" s="468" t="s">
        <v>559</v>
      </c>
      <c r="C36" s="490"/>
      <c r="D36" s="468"/>
      <c r="E36" s="487"/>
      <c r="F36" s="474"/>
      <c r="G36" s="474"/>
      <c r="H36" s="466"/>
      <c r="I36" s="492"/>
      <c r="J36" s="487"/>
      <c r="K36" s="487"/>
      <c r="L36" s="487"/>
      <c r="M36" s="487"/>
      <c r="N36" s="487"/>
      <c r="O36" s="487"/>
      <c r="P36" s="487"/>
      <c r="Q36" s="487"/>
      <c r="R36" s="487"/>
      <c r="S36" s="488"/>
      <c r="T36" s="488"/>
      <c r="U36" s="488"/>
      <c r="V36" s="477"/>
      <c r="W36" s="492"/>
      <c r="X36" s="492"/>
      <c r="Y36" s="487"/>
      <c r="Z36" s="487"/>
      <c r="AA36" s="487"/>
      <c r="AB36" s="487"/>
      <c r="AC36" s="487"/>
      <c r="AD36" s="487"/>
      <c r="AE36" s="487"/>
      <c r="AF36" s="487"/>
      <c r="AG36" s="487"/>
      <c r="AI36" s="5"/>
      <c r="AJ36" s="5"/>
    </row>
    <row r="37" spans="2:36" ht="18.75" hidden="1">
      <c r="B37" s="468" t="s">
        <v>559</v>
      </c>
      <c r="C37" s="490"/>
      <c r="D37" s="468"/>
      <c r="E37" s="487"/>
      <c r="F37" s="474"/>
      <c r="G37" s="474"/>
      <c r="H37" s="466"/>
      <c r="I37" s="492"/>
      <c r="J37" s="487"/>
      <c r="K37" s="487"/>
      <c r="L37" s="487"/>
      <c r="M37" s="487"/>
      <c r="N37" s="487"/>
      <c r="O37" s="487"/>
      <c r="P37" s="487"/>
      <c r="Q37" s="487"/>
      <c r="R37" s="487"/>
      <c r="S37" s="488"/>
      <c r="T37" s="488"/>
      <c r="U37" s="488"/>
      <c r="V37" s="477"/>
      <c r="W37" s="492"/>
      <c r="X37" s="492"/>
      <c r="Y37" s="487"/>
      <c r="Z37" s="487"/>
      <c r="AA37" s="487"/>
      <c r="AB37" s="487"/>
      <c r="AC37" s="487"/>
      <c r="AD37" s="487"/>
      <c r="AE37" s="487"/>
      <c r="AF37" s="487"/>
      <c r="AG37" s="487"/>
      <c r="AI37" s="5"/>
      <c r="AJ37" s="5"/>
    </row>
    <row r="38" spans="2:36" ht="18.75" hidden="1">
      <c r="B38" s="468" t="s">
        <v>559</v>
      </c>
      <c r="C38" s="490"/>
      <c r="D38" s="468"/>
      <c r="E38" s="487"/>
      <c r="F38" s="474"/>
      <c r="G38" s="474"/>
      <c r="H38" s="466"/>
      <c r="I38" s="492"/>
      <c r="J38" s="487"/>
      <c r="K38" s="487"/>
      <c r="L38" s="487"/>
      <c r="M38" s="487"/>
      <c r="N38" s="487"/>
      <c r="O38" s="487"/>
      <c r="P38" s="487"/>
      <c r="Q38" s="487"/>
      <c r="R38" s="487"/>
      <c r="S38" s="488"/>
      <c r="T38" s="488"/>
      <c r="U38" s="488"/>
      <c r="V38" s="477"/>
      <c r="W38" s="492"/>
      <c r="X38" s="492"/>
      <c r="Y38" s="487"/>
      <c r="Z38" s="487"/>
      <c r="AA38" s="487"/>
      <c r="AB38" s="487"/>
      <c r="AC38" s="487"/>
      <c r="AD38" s="487"/>
      <c r="AE38" s="487"/>
      <c r="AF38" s="487"/>
      <c r="AG38" s="487"/>
      <c r="AI38" s="5"/>
      <c r="AJ38" s="5"/>
    </row>
    <row r="39" spans="2:36" ht="18.75" hidden="1">
      <c r="B39" s="468" t="s">
        <v>559</v>
      </c>
      <c r="C39" s="490"/>
      <c r="D39" s="468"/>
      <c r="E39" s="487"/>
      <c r="F39" s="474"/>
      <c r="G39" s="474"/>
      <c r="H39" s="466"/>
      <c r="I39" s="492"/>
      <c r="J39" s="487"/>
      <c r="K39" s="487"/>
      <c r="L39" s="487"/>
      <c r="M39" s="487"/>
      <c r="N39" s="487"/>
      <c r="O39" s="487"/>
      <c r="P39" s="487"/>
      <c r="Q39" s="487"/>
      <c r="R39" s="487"/>
      <c r="S39" s="488"/>
      <c r="T39" s="488"/>
      <c r="U39" s="488"/>
      <c r="V39" s="477"/>
      <c r="W39" s="492"/>
      <c r="X39" s="492"/>
      <c r="Y39" s="487"/>
      <c r="Z39" s="487"/>
      <c r="AA39" s="487"/>
      <c r="AB39" s="487"/>
      <c r="AC39" s="487"/>
      <c r="AD39" s="487"/>
      <c r="AE39" s="487"/>
      <c r="AF39" s="487"/>
      <c r="AG39" s="487"/>
      <c r="AI39" s="5"/>
      <c r="AJ39" s="5"/>
    </row>
    <row r="40" spans="2:36" ht="18.75" hidden="1">
      <c r="B40" s="468" t="s">
        <v>559</v>
      </c>
      <c r="C40" s="490"/>
      <c r="D40" s="468"/>
      <c r="E40" s="487"/>
      <c r="F40" s="474"/>
      <c r="G40" s="474"/>
      <c r="H40" s="466"/>
      <c r="I40" s="492"/>
      <c r="J40" s="487"/>
      <c r="K40" s="487"/>
      <c r="L40" s="487"/>
      <c r="M40" s="487"/>
      <c r="N40" s="487"/>
      <c r="O40" s="487"/>
      <c r="P40" s="487"/>
      <c r="Q40" s="487"/>
      <c r="R40" s="487"/>
      <c r="S40" s="488"/>
      <c r="T40" s="488"/>
      <c r="U40" s="488"/>
      <c r="V40" s="477"/>
      <c r="W40" s="492"/>
      <c r="X40" s="492"/>
      <c r="Y40" s="487"/>
      <c r="Z40" s="487"/>
      <c r="AA40" s="487"/>
      <c r="AB40" s="487"/>
      <c r="AC40" s="487"/>
      <c r="AD40" s="487"/>
      <c r="AE40" s="487"/>
      <c r="AF40" s="487"/>
      <c r="AG40" s="487"/>
      <c r="AI40" s="5"/>
      <c r="AJ40" s="5"/>
    </row>
    <row r="41" spans="2:36" ht="18.75">
      <c r="B41" s="468" t="s">
        <v>560</v>
      </c>
      <c r="C41" s="490"/>
      <c r="D41" s="468"/>
      <c r="E41" s="487"/>
      <c r="F41" s="474"/>
      <c r="G41" s="474"/>
      <c r="H41" s="466"/>
      <c r="I41" s="492"/>
      <c r="J41" s="487"/>
      <c r="K41" s="487"/>
      <c r="L41" s="487"/>
      <c r="M41" s="487"/>
      <c r="N41" s="487"/>
      <c r="O41" s="487"/>
      <c r="P41" s="487"/>
      <c r="Q41" s="487"/>
      <c r="R41" s="487"/>
      <c r="S41" s="488"/>
      <c r="T41" s="488"/>
      <c r="U41" s="488"/>
      <c r="V41" s="477"/>
      <c r="W41" s="492"/>
      <c r="X41" s="492"/>
      <c r="Y41" s="487"/>
      <c r="Z41" s="487"/>
      <c r="AA41" s="487"/>
      <c r="AB41" s="487"/>
      <c r="AC41" s="487"/>
      <c r="AD41" s="487"/>
      <c r="AE41" s="487"/>
      <c r="AF41" s="487"/>
      <c r="AG41" s="487"/>
      <c r="AI41" s="5"/>
      <c r="AJ41" s="5"/>
    </row>
    <row r="42" spans="2:36" ht="18.75">
      <c r="B42" s="468" t="s">
        <v>560</v>
      </c>
      <c r="C42" s="490"/>
      <c r="D42" s="468"/>
      <c r="E42" s="487"/>
      <c r="F42" s="474"/>
      <c r="G42" s="474"/>
      <c r="H42" s="466"/>
      <c r="I42" s="492"/>
      <c r="J42" s="487"/>
      <c r="K42" s="487"/>
      <c r="L42" s="487"/>
      <c r="M42" s="487"/>
      <c r="N42" s="487"/>
      <c r="O42" s="487"/>
      <c r="P42" s="487"/>
      <c r="Q42" s="487"/>
      <c r="R42" s="487"/>
      <c r="S42" s="488"/>
      <c r="T42" s="488"/>
      <c r="U42" s="488"/>
      <c r="V42" s="477"/>
      <c r="W42" s="492"/>
      <c r="X42" s="492"/>
      <c r="Y42" s="487"/>
      <c r="Z42" s="487"/>
      <c r="AA42" s="487"/>
      <c r="AB42" s="487"/>
      <c r="AC42" s="487"/>
      <c r="AD42" s="487"/>
      <c r="AE42" s="487"/>
      <c r="AF42" s="487"/>
      <c r="AG42" s="487"/>
      <c r="AI42" s="5"/>
      <c r="AJ42" s="5"/>
    </row>
    <row r="43" spans="2:36" ht="18.75" hidden="1">
      <c r="B43" s="468" t="s">
        <v>560</v>
      </c>
      <c r="C43" s="490"/>
      <c r="D43" s="468"/>
      <c r="E43" s="487"/>
      <c r="F43" s="474"/>
      <c r="G43" s="474"/>
      <c r="H43" s="466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8"/>
      <c r="T43" s="488"/>
      <c r="U43" s="488"/>
      <c r="V43" s="477"/>
      <c r="W43" s="492"/>
      <c r="X43" s="492"/>
      <c r="Y43" s="487"/>
      <c r="Z43" s="487"/>
      <c r="AA43" s="487"/>
      <c r="AB43" s="487"/>
      <c r="AC43" s="487"/>
      <c r="AD43" s="487"/>
      <c r="AE43" s="487"/>
      <c r="AF43" s="487"/>
      <c r="AG43" s="487"/>
      <c r="AI43" s="5"/>
      <c r="AJ43" s="5"/>
    </row>
    <row r="44" spans="2:36" ht="18.75" hidden="1">
      <c r="B44" s="468" t="s">
        <v>560</v>
      </c>
      <c r="C44" s="490"/>
      <c r="D44" s="468"/>
      <c r="E44" s="487"/>
      <c r="F44" s="474"/>
      <c r="G44" s="474"/>
      <c r="H44" s="466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8"/>
      <c r="T44" s="488"/>
      <c r="U44" s="488"/>
      <c r="V44" s="477"/>
      <c r="W44" s="492"/>
      <c r="X44" s="492"/>
      <c r="Y44" s="487"/>
      <c r="Z44" s="487"/>
      <c r="AA44" s="487"/>
      <c r="AB44" s="487"/>
      <c r="AC44" s="487"/>
      <c r="AD44" s="487"/>
      <c r="AE44" s="487"/>
      <c r="AF44" s="487"/>
      <c r="AG44" s="487"/>
      <c r="AI44" s="5"/>
      <c r="AJ44" s="5"/>
    </row>
    <row r="45" spans="2:36" ht="18.75" hidden="1">
      <c r="B45" s="468" t="s">
        <v>560</v>
      </c>
      <c r="C45" s="490"/>
      <c r="D45" s="468"/>
      <c r="E45" s="487"/>
      <c r="F45" s="474"/>
      <c r="G45" s="474"/>
      <c r="H45" s="466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8"/>
      <c r="T45" s="488"/>
      <c r="U45" s="488"/>
      <c r="V45" s="477"/>
      <c r="W45" s="492"/>
      <c r="X45" s="492"/>
      <c r="Y45" s="487"/>
      <c r="Z45" s="487"/>
      <c r="AA45" s="487"/>
      <c r="AB45" s="487"/>
      <c r="AC45" s="487"/>
      <c r="AD45" s="487"/>
      <c r="AE45" s="487"/>
      <c r="AF45" s="487"/>
      <c r="AG45" s="487"/>
      <c r="AI45" s="5"/>
      <c r="AJ45" s="5"/>
    </row>
    <row r="46" spans="2:36" ht="18.75" hidden="1">
      <c r="B46" s="468" t="s">
        <v>560</v>
      </c>
      <c r="C46" s="490"/>
      <c r="D46" s="468"/>
      <c r="E46" s="487"/>
      <c r="F46" s="474"/>
      <c r="G46" s="474"/>
      <c r="H46" s="466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8"/>
      <c r="T46" s="488"/>
      <c r="U46" s="488"/>
      <c r="V46" s="477"/>
      <c r="W46" s="492"/>
      <c r="X46" s="492"/>
      <c r="Y46" s="487"/>
      <c r="Z46" s="487"/>
      <c r="AA46" s="487"/>
      <c r="AB46" s="487"/>
      <c r="AC46" s="487"/>
      <c r="AD46" s="487"/>
      <c r="AE46" s="487"/>
      <c r="AF46" s="487"/>
      <c r="AG46" s="487"/>
      <c r="AI46" s="5"/>
      <c r="AJ46" s="5"/>
    </row>
    <row r="47" spans="2:36" ht="18.75" hidden="1">
      <c r="B47" s="468" t="s">
        <v>561</v>
      </c>
      <c r="C47" s="490"/>
      <c r="D47" s="468"/>
      <c r="E47" s="487"/>
      <c r="F47" s="487"/>
      <c r="G47" s="487"/>
      <c r="H47" s="466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8"/>
      <c r="T47" s="488"/>
      <c r="U47" s="488"/>
      <c r="V47" s="477"/>
      <c r="W47" s="492"/>
      <c r="X47" s="492"/>
      <c r="Y47" s="487"/>
      <c r="Z47" s="487"/>
      <c r="AA47" s="487"/>
      <c r="AB47" s="487"/>
      <c r="AC47" s="487"/>
      <c r="AD47" s="487"/>
      <c r="AE47" s="487"/>
      <c r="AF47" s="487"/>
      <c r="AG47" s="487"/>
      <c r="AI47" s="5"/>
      <c r="AJ47" s="5"/>
    </row>
    <row r="48" spans="2:36" ht="18.75" hidden="1">
      <c r="B48" s="468" t="s">
        <v>561</v>
      </c>
      <c r="C48" s="490"/>
      <c r="D48" s="468"/>
      <c r="E48" s="487"/>
      <c r="F48" s="474"/>
      <c r="G48" s="474"/>
      <c r="H48" s="466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8"/>
      <c r="T48" s="488"/>
      <c r="U48" s="488"/>
      <c r="V48" s="477"/>
      <c r="W48" s="492"/>
      <c r="X48" s="492"/>
      <c r="Y48" s="487"/>
      <c r="Z48" s="487"/>
      <c r="AA48" s="487"/>
      <c r="AB48" s="487"/>
      <c r="AC48" s="487"/>
      <c r="AD48" s="487"/>
      <c r="AE48" s="487"/>
      <c r="AF48" s="487"/>
      <c r="AG48" s="487"/>
      <c r="AI48" s="5"/>
      <c r="AJ48" s="5"/>
    </row>
    <row r="49" spans="2:36" ht="18.75" hidden="1">
      <c r="B49" s="468" t="s">
        <v>561</v>
      </c>
      <c r="C49" s="490"/>
      <c r="D49" s="468"/>
      <c r="E49" s="487"/>
      <c r="F49" s="474"/>
      <c r="G49" s="474"/>
      <c r="H49" s="466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8"/>
      <c r="T49" s="488"/>
      <c r="U49" s="488"/>
      <c r="V49" s="477"/>
      <c r="W49" s="492"/>
      <c r="X49" s="492"/>
      <c r="Y49" s="487"/>
      <c r="Z49" s="487"/>
      <c r="AA49" s="487"/>
      <c r="AB49" s="487"/>
      <c r="AC49" s="487"/>
      <c r="AD49" s="487"/>
      <c r="AE49" s="487"/>
      <c r="AF49" s="487"/>
      <c r="AG49" s="487"/>
      <c r="AI49" s="5"/>
      <c r="AJ49" s="5"/>
    </row>
    <row r="50" spans="2:36" ht="18.75" hidden="1">
      <c r="B50" s="468" t="s">
        <v>561</v>
      </c>
      <c r="C50" s="490"/>
      <c r="D50" s="468"/>
      <c r="E50" s="487"/>
      <c r="F50" s="474"/>
      <c r="G50" s="474"/>
      <c r="H50" s="466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8"/>
      <c r="T50" s="488"/>
      <c r="U50" s="488"/>
      <c r="V50" s="477"/>
      <c r="W50" s="492"/>
      <c r="X50" s="492"/>
      <c r="Y50" s="487"/>
      <c r="Z50" s="487"/>
      <c r="AA50" s="487"/>
      <c r="AB50" s="487"/>
      <c r="AC50" s="487"/>
      <c r="AD50" s="487"/>
      <c r="AE50" s="487"/>
      <c r="AF50" s="487"/>
      <c r="AG50" s="487"/>
      <c r="AI50" s="5"/>
      <c r="AJ50" s="5"/>
    </row>
    <row r="51" spans="2:36" s="9" customFormat="1" ht="18.75" hidden="1">
      <c r="B51" s="468" t="s">
        <v>561</v>
      </c>
      <c r="C51" s="490"/>
      <c r="D51" s="468"/>
      <c r="E51" s="487"/>
      <c r="F51" s="474"/>
      <c r="G51" s="474"/>
      <c r="H51" s="466"/>
      <c r="I51" s="487"/>
      <c r="J51" s="493"/>
      <c r="K51" s="493"/>
      <c r="L51" s="493"/>
      <c r="M51" s="493"/>
      <c r="N51" s="492"/>
      <c r="O51" s="493"/>
      <c r="P51" s="493"/>
      <c r="Q51" s="493"/>
      <c r="R51" s="493"/>
      <c r="S51" s="494"/>
      <c r="T51" s="494"/>
      <c r="U51" s="494"/>
      <c r="V51" s="477"/>
      <c r="W51" s="492"/>
      <c r="X51" s="492"/>
      <c r="Y51" s="493"/>
      <c r="Z51" s="493"/>
      <c r="AA51" s="487"/>
      <c r="AB51" s="493"/>
      <c r="AC51" s="487"/>
      <c r="AD51" s="493"/>
      <c r="AE51" s="493"/>
      <c r="AF51" s="493"/>
      <c r="AG51" s="487"/>
      <c r="AH51" s="415"/>
      <c r="AI51" s="464"/>
      <c r="AJ51" s="464"/>
    </row>
    <row r="52" spans="2:36" ht="18.75" hidden="1">
      <c r="B52" s="468" t="s">
        <v>561</v>
      </c>
      <c r="C52" s="490"/>
      <c r="D52" s="468"/>
      <c r="E52" s="487"/>
      <c r="F52" s="493"/>
      <c r="G52" s="493"/>
      <c r="H52" s="466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8"/>
      <c r="T52" s="488"/>
      <c r="U52" s="488"/>
      <c r="V52" s="477"/>
      <c r="W52" s="492"/>
      <c r="X52" s="492"/>
      <c r="Y52" s="487"/>
      <c r="Z52" s="487"/>
      <c r="AA52" s="487"/>
      <c r="AB52" s="487"/>
      <c r="AC52" s="487"/>
      <c r="AD52" s="487"/>
      <c r="AE52" s="487"/>
      <c r="AF52" s="487"/>
      <c r="AG52" s="487"/>
      <c r="AI52" s="5"/>
      <c r="AJ52" s="5"/>
    </row>
    <row r="53" spans="2:36" ht="18.75" hidden="1">
      <c r="B53" s="468" t="s">
        <v>562</v>
      </c>
      <c r="C53" s="490"/>
      <c r="D53" s="468"/>
      <c r="E53" s="487"/>
      <c r="F53" s="493"/>
      <c r="G53" s="493"/>
      <c r="H53" s="466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8"/>
      <c r="T53" s="488"/>
      <c r="U53" s="488"/>
      <c r="V53" s="477"/>
      <c r="W53" s="492"/>
      <c r="X53" s="492"/>
      <c r="Y53" s="487"/>
      <c r="Z53" s="487"/>
      <c r="AA53" s="487"/>
      <c r="AB53" s="487"/>
      <c r="AC53" s="487"/>
      <c r="AD53" s="487"/>
      <c r="AE53" s="487"/>
      <c r="AF53" s="487"/>
      <c r="AG53" s="487"/>
      <c r="AI53" s="5"/>
      <c r="AJ53" s="5"/>
    </row>
    <row r="54" spans="2:36" ht="18.75" hidden="1">
      <c r="B54" s="468" t="s">
        <v>562</v>
      </c>
      <c r="C54" s="490"/>
      <c r="D54" s="468"/>
      <c r="E54" s="487"/>
      <c r="F54" s="493"/>
      <c r="G54" s="493"/>
      <c r="H54" s="466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8"/>
      <c r="T54" s="488"/>
      <c r="U54" s="488"/>
      <c r="V54" s="477"/>
      <c r="W54" s="492"/>
      <c r="X54" s="492"/>
      <c r="Y54" s="487"/>
      <c r="Z54" s="487"/>
      <c r="AA54" s="487"/>
      <c r="AB54" s="487"/>
      <c r="AC54" s="487"/>
      <c r="AD54" s="487"/>
      <c r="AE54" s="487"/>
      <c r="AF54" s="487"/>
      <c r="AG54" s="487"/>
      <c r="AI54" s="5"/>
      <c r="AJ54" s="5"/>
    </row>
    <row r="55" spans="2:36" ht="18.75" hidden="1">
      <c r="B55" s="468" t="s">
        <v>562</v>
      </c>
      <c r="C55" s="490"/>
      <c r="D55" s="468"/>
      <c r="E55" s="487"/>
      <c r="F55" s="493"/>
      <c r="G55" s="493"/>
      <c r="H55" s="466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8"/>
      <c r="T55" s="488"/>
      <c r="U55" s="488"/>
      <c r="V55" s="477"/>
      <c r="W55" s="492"/>
      <c r="X55" s="492"/>
      <c r="Y55" s="487"/>
      <c r="Z55" s="487"/>
      <c r="AA55" s="487"/>
      <c r="AB55" s="487"/>
      <c r="AC55" s="487"/>
      <c r="AD55" s="487"/>
      <c r="AE55" s="487"/>
      <c r="AF55" s="487"/>
      <c r="AG55" s="487"/>
      <c r="AI55" s="5"/>
      <c r="AJ55" s="5"/>
    </row>
    <row r="56" spans="2:36" ht="18.75" hidden="1">
      <c r="B56" s="468" t="s">
        <v>562</v>
      </c>
      <c r="C56" s="490"/>
      <c r="D56" s="468"/>
      <c r="E56" s="487"/>
      <c r="F56" s="493"/>
      <c r="G56" s="493"/>
      <c r="H56" s="466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8"/>
      <c r="T56" s="488"/>
      <c r="U56" s="488"/>
      <c r="V56" s="477"/>
      <c r="W56" s="492"/>
      <c r="X56" s="492"/>
      <c r="Y56" s="487"/>
      <c r="Z56" s="487"/>
      <c r="AA56" s="487"/>
      <c r="AB56" s="487"/>
      <c r="AC56" s="487"/>
      <c r="AD56" s="487"/>
      <c r="AE56" s="487"/>
      <c r="AF56" s="487"/>
      <c r="AG56" s="487"/>
      <c r="AI56" s="5"/>
      <c r="AJ56" s="5"/>
    </row>
    <row r="57" spans="2:36" ht="18.75" hidden="1">
      <c r="B57" s="468" t="s">
        <v>562</v>
      </c>
      <c r="C57" s="490"/>
      <c r="D57" s="468"/>
      <c r="E57" s="487"/>
      <c r="F57" s="493"/>
      <c r="G57" s="493"/>
      <c r="H57" s="466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8"/>
      <c r="T57" s="488"/>
      <c r="U57" s="488"/>
      <c r="V57" s="477"/>
      <c r="W57" s="492"/>
      <c r="X57" s="492"/>
      <c r="Y57" s="487"/>
      <c r="Z57" s="487"/>
      <c r="AA57" s="487"/>
      <c r="AB57" s="487"/>
      <c r="AC57" s="487"/>
      <c r="AD57" s="487"/>
      <c r="AE57" s="487"/>
      <c r="AF57" s="487"/>
      <c r="AG57" s="487"/>
      <c r="AI57" s="5"/>
      <c r="AJ57" s="5"/>
    </row>
    <row r="58" spans="2:36" ht="18.75" hidden="1">
      <c r="B58" s="468" t="s">
        <v>562</v>
      </c>
      <c r="C58" s="490"/>
      <c r="D58" s="468"/>
      <c r="E58" s="487"/>
      <c r="F58" s="493"/>
      <c r="G58" s="493"/>
      <c r="H58" s="466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8"/>
      <c r="T58" s="488"/>
      <c r="U58" s="488"/>
      <c r="V58" s="477"/>
      <c r="W58" s="492"/>
      <c r="X58" s="492"/>
      <c r="Y58" s="487"/>
      <c r="Z58" s="487"/>
      <c r="AA58" s="487"/>
      <c r="AB58" s="487"/>
      <c r="AC58" s="487"/>
      <c r="AD58" s="487"/>
      <c r="AE58" s="487"/>
      <c r="AF58" s="487"/>
      <c r="AG58" s="487"/>
      <c r="AI58" s="5"/>
      <c r="AJ58" s="5"/>
    </row>
    <row r="59" spans="2:36" ht="18.75" hidden="1">
      <c r="B59" s="468" t="s">
        <v>563</v>
      </c>
      <c r="C59" s="490"/>
      <c r="D59" s="468"/>
      <c r="E59" s="487"/>
      <c r="F59" s="493"/>
      <c r="G59" s="493"/>
      <c r="H59" s="466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8"/>
      <c r="T59" s="488"/>
      <c r="U59" s="488"/>
      <c r="V59" s="477"/>
      <c r="W59" s="492"/>
      <c r="X59" s="492"/>
      <c r="Y59" s="487"/>
      <c r="Z59" s="487"/>
      <c r="AA59" s="487"/>
      <c r="AB59" s="487"/>
      <c r="AC59" s="487"/>
      <c r="AD59" s="487"/>
      <c r="AE59" s="487"/>
      <c r="AF59" s="487"/>
      <c r="AG59" s="487"/>
      <c r="AI59" s="5"/>
      <c r="AJ59" s="5"/>
    </row>
    <row r="60" spans="2:36" ht="18.75" hidden="1">
      <c r="B60" s="468" t="s">
        <v>563</v>
      </c>
      <c r="C60" s="490"/>
      <c r="D60" s="468"/>
      <c r="E60" s="487"/>
      <c r="F60" s="493"/>
      <c r="G60" s="493"/>
      <c r="H60" s="466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8"/>
      <c r="T60" s="488"/>
      <c r="U60" s="488"/>
      <c r="V60" s="477"/>
      <c r="W60" s="492"/>
      <c r="X60" s="492"/>
      <c r="Y60" s="487"/>
      <c r="Z60" s="487"/>
      <c r="AA60" s="487"/>
      <c r="AB60" s="487"/>
      <c r="AC60" s="487"/>
      <c r="AD60" s="487"/>
      <c r="AE60" s="487"/>
      <c r="AF60" s="487"/>
      <c r="AG60" s="487"/>
      <c r="AI60" s="5"/>
      <c r="AJ60" s="5"/>
    </row>
    <row r="61" spans="2:36" ht="18.75" hidden="1">
      <c r="B61" s="468" t="s">
        <v>563</v>
      </c>
      <c r="C61" s="490"/>
      <c r="D61" s="468"/>
      <c r="E61" s="487"/>
      <c r="F61" s="493"/>
      <c r="G61" s="493"/>
      <c r="H61" s="466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8"/>
      <c r="T61" s="488"/>
      <c r="U61" s="488"/>
      <c r="V61" s="477"/>
      <c r="W61" s="492"/>
      <c r="X61" s="492"/>
      <c r="Y61" s="487"/>
      <c r="Z61" s="487"/>
      <c r="AA61" s="487"/>
      <c r="AB61" s="487"/>
      <c r="AC61" s="487"/>
      <c r="AD61" s="487"/>
      <c r="AE61" s="487"/>
      <c r="AF61" s="487"/>
      <c r="AG61" s="487"/>
      <c r="AI61" s="5"/>
      <c r="AJ61" s="5"/>
    </row>
    <row r="62" spans="2:36" ht="18.75" hidden="1">
      <c r="B62" s="468" t="s">
        <v>563</v>
      </c>
      <c r="C62" s="490"/>
      <c r="D62" s="468"/>
      <c r="E62" s="487"/>
      <c r="F62" s="493"/>
      <c r="G62" s="493"/>
      <c r="H62" s="466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8"/>
      <c r="T62" s="488"/>
      <c r="U62" s="488"/>
      <c r="V62" s="477"/>
      <c r="W62" s="492"/>
      <c r="X62" s="492"/>
      <c r="Y62" s="487"/>
      <c r="Z62" s="487"/>
      <c r="AA62" s="487"/>
      <c r="AB62" s="487"/>
      <c r="AC62" s="487"/>
      <c r="AD62" s="487"/>
      <c r="AE62" s="487"/>
      <c r="AF62" s="487"/>
      <c r="AG62" s="487"/>
      <c r="AI62" s="5"/>
      <c r="AJ62" s="5"/>
    </row>
    <row r="63" spans="2:36" ht="18.75" hidden="1">
      <c r="B63" s="468" t="s">
        <v>563</v>
      </c>
      <c r="C63" s="490"/>
      <c r="D63" s="468"/>
      <c r="E63" s="487"/>
      <c r="F63" s="493"/>
      <c r="G63" s="493"/>
      <c r="H63" s="466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8"/>
      <c r="T63" s="488"/>
      <c r="U63" s="488"/>
      <c r="V63" s="477"/>
      <c r="W63" s="492"/>
      <c r="X63" s="492"/>
      <c r="Y63" s="487"/>
      <c r="Z63" s="487"/>
      <c r="AA63" s="487"/>
      <c r="AB63" s="487"/>
      <c r="AC63" s="487"/>
      <c r="AD63" s="487"/>
      <c r="AE63" s="487"/>
      <c r="AF63" s="487"/>
      <c r="AG63" s="487"/>
      <c r="AI63" s="5"/>
      <c r="AJ63" s="5"/>
    </row>
    <row r="64" spans="2:36" ht="18.75" hidden="1">
      <c r="B64" s="468" t="s">
        <v>563</v>
      </c>
      <c r="C64" s="490"/>
      <c r="D64" s="468"/>
      <c r="E64" s="487"/>
      <c r="F64" s="493"/>
      <c r="G64" s="493"/>
      <c r="H64" s="466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8"/>
      <c r="T64" s="488"/>
      <c r="U64" s="488"/>
      <c r="V64" s="477"/>
      <c r="W64" s="492"/>
      <c r="X64" s="492"/>
      <c r="Y64" s="487"/>
      <c r="Z64" s="487"/>
      <c r="AA64" s="487"/>
      <c r="AB64" s="487"/>
      <c r="AC64" s="487"/>
      <c r="AD64" s="487"/>
      <c r="AE64" s="487"/>
      <c r="AF64" s="487"/>
      <c r="AG64" s="487"/>
      <c r="AI64" s="5"/>
      <c r="AJ64" s="5"/>
    </row>
    <row r="65" spans="2:36" ht="18.75" hidden="1">
      <c r="B65" s="468" t="s">
        <v>564</v>
      </c>
      <c r="C65" s="490"/>
      <c r="D65" s="468"/>
      <c r="E65" s="487"/>
      <c r="F65" s="493"/>
      <c r="G65" s="493"/>
      <c r="H65" s="466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8"/>
      <c r="T65" s="488"/>
      <c r="U65" s="488"/>
      <c r="V65" s="477"/>
      <c r="W65" s="492"/>
      <c r="X65" s="492"/>
      <c r="Y65" s="487"/>
      <c r="Z65" s="487"/>
      <c r="AA65" s="487"/>
      <c r="AB65" s="487"/>
      <c r="AC65" s="487"/>
      <c r="AD65" s="487"/>
      <c r="AE65" s="487"/>
      <c r="AF65" s="487"/>
      <c r="AG65" s="487"/>
      <c r="AI65" s="5"/>
      <c r="AJ65" s="5"/>
    </row>
    <row r="66" spans="2:36" ht="18.75" hidden="1">
      <c r="B66" s="468" t="s">
        <v>564</v>
      </c>
      <c r="C66" s="490"/>
      <c r="D66" s="468"/>
      <c r="E66" s="487"/>
      <c r="F66" s="493"/>
      <c r="G66" s="493"/>
      <c r="H66" s="466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8"/>
      <c r="T66" s="488"/>
      <c r="U66" s="488"/>
      <c r="V66" s="477"/>
      <c r="W66" s="492"/>
      <c r="X66" s="492"/>
      <c r="Y66" s="487"/>
      <c r="Z66" s="487"/>
      <c r="AA66" s="487"/>
      <c r="AB66" s="487"/>
      <c r="AC66" s="487"/>
      <c r="AD66" s="487"/>
      <c r="AE66" s="487"/>
      <c r="AF66" s="487"/>
      <c r="AG66" s="487"/>
      <c r="AI66" s="5"/>
      <c r="AJ66" s="5"/>
    </row>
    <row r="67" spans="2:36" ht="18.75" hidden="1">
      <c r="B67" s="468" t="s">
        <v>564</v>
      </c>
      <c r="C67" s="490"/>
      <c r="D67" s="468"/>
      <c r="E67" s="487"/>
      <c r="F67" s="493"/>
      <c r="G67" s="493"/>
      <c r="H67" s="466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8"/>
      <c r="T67" s="488"/>
      <c r="U67" s="488"/>
      <c r="V67" s="477"/>
      <c r="W67" s="492"/>
      <c r="X67" s="492"/>
      <c r="Y67" s="487"/>
      <c r="Z67" s="487"/>
      <c r="AA67" s="487"/>
      <c r="AB67" s="487"/>
      <c r="AC67" s="487"/>
      <c r="AD67" s="487"/>
      <c r="AE67" s="487"/>
      <c r="AF67" s="487"/>
      <c r="AG67" s="487"/>
      <c r="AI67" s="5"/>
      <c r="AJ67" s="5"/>
    </row>
    <row r="68" spans="2:36" ht="18.75" hidden="1">
      <c r="B68" s="468" t="s">
        <v>564</v>
      </c>
      <c r="C68" s="490"/>
      <c r="D68" s="468"/>
      <c r="E68" s="487"/>
      <c r="F68" s="493"/>
      <c r="G68" s="493"/>
      <c r="H68" s="466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8"/>
      <c r="T68" s="488"/>
      <c r="U68" s="488"/>
      <c r="V68" s="477"/>
      <c r="W68" s="492"/>
      <c r="X68" s="492"/>
      <c r="Y68" s="487"/>
      <c r="Z68" s="487"/>
      <c r="AA68" s="487"/>
      <c r="AB68" s="487"/>
      <c r="AC68" s="487"/>
      <c r="AD68" s="487"/>
      <c r="AE68" s="487"/>
      <c r="AF68" s="487"/>
      <c r="AG68" s="487"/>
      <c r="AI68" s="5"/>
      <c r="AJ68" s="5"/>
    </row>
    <row r="69" spans="2:36" ht="18.75" hidden="1">
      <c r="B69" s="468" t="s">
        <v>564</v>
      </c>
      <c r="C69" s="490"/>
      <c r="D69" s="468"/>
      <c r="E69" s="487"/>
      <c r="F69" s="493"/>
      <c r="G69" s="493"/>
      <c r="H69" s="466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8"/>
      <c r="T69" s="488"/>
      <c r="U69" s="488"/>
      <c r="V69" s="477"/>
      <c r="W69" s="492"/>
      <c r="X69" s="492"/>
      <c r="Y69" s="487"/>
      <c r="Z69" s="487"/>
      <c r="AA69" s="487"/>
      <c r="AB69" s="487"/>
      <c r="AC69" s="487"/>
      <c r="AD69" s="487"/>
      <c r="AE69" s="487"/>
      <c r="AF69" s="487"/>
      <c r="AG69" s="487"/>
      <c r="AI69" s="5"/>
      <c r="AJ69" s="5"/>
    </row>
    <row r="70" spans="2:36" ht="18.75" hidden="1">
      <c r="B70" s="468" t="s">
        <v>564</v>
      </c>
      <c r="C70" s="490"/>
      <c r="D70" s="468"/>
      <c r="E70" s="487"/>
      <c r="F70" s="493"/>
      <c r="G70" s="493"/>
      <c r="H70" s="466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8"/>
      <c r="T70" s="488"/>
      <c r="U70" s="488"/>
      <c r="V70" s="477"/>
      <c r="W70" s="492"/>
      <c r="X70" s="492"/>
      <c r="Y70" s="487"/>
      <c r="Z70" s="487"/>
      <c r="AA70" s="487"/>
      <c r="AB70" s="487"/>
      <c r="AC70" s="487"/>
      <c r="AD70" s="487"/>
      <c r="AE70" s="487"/>
      <c r="AF70" s="487"/>
      <c r="AG70" s="487"/>
      <c r="AI70" s="5"/>
      <c r="AJ70" s="5"/>
    </row>
    <row r="71" spans="2:36" ht="18.75" hidden="1">
      <c r="B71" s="468" t="s">
        <v>565</v>
      </c>
      <c r="C71" s="490"/>
      <c r="D71" s="468"/>
      <c r="E71" s="487"/>
      <c r="F71" s="493"/>
      <c r="G71" s="493"/>
      <c r="H71" s="466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8"/>
      <c r="T71" s="488"/>
      <c r="U71" s="488"/>
      <c r="V71" s="477"/>
      <c r="W71" s="492"/>
      <c r="X71" s="492"/>
      <c r="Y71" s="487"/>
      <c r="Z71" s="487"/>
      <c r="AA71" s="487"/>
      <c r="AB71" s="487"/>
      <c r="AC71" s="487"/>
      <c r="AD71" s="487"/>
      <c r="AE71" s="487"/>
      <c r="AF71" s="487"/>
      <c r="AG71" s="487"/>
      <c r="AI71" s="5"/>
      <c r="AJ71" s="5"/>
    </row>
    <row r="72" spans="2:36" ht="18.75" hidden="1">
      <c r="B72" s="468" t="s">
        <v>565</v>
      </c>
      <c r="C72" s="490"/>
      <c r="D72" s="468"/>
      <c r="E72" s="487"/>
      <c r="F72" s="493"/>
      <c r="G72" s="493"/>
      <c r="H72" s="466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8"/>
      <c r="T72" s="488"/>
      <c r="U72" s="488"/>
      <c r="V72" s="477"/>
      <c r="W72" s="492"/>
      <c r="X72" s="492"/>
      <c r="Y72" s="487"/>
      <c r="Z72" s="487"/>
      <c r="AA72" s="487"/>
      <c r="AB72" s="487"/>
      <c r="AC72" s="487"/>
      <c r="AD72" s="487"/>
      <c r="AE72" s="487"/>
      <c r="AF72" s="487"/>
      <c r="AG72" s="487"/>
      <c r="AI72" s="5"/>
      <c r="AJ72" s="5"/>
    </row>
    <row r="73" spans="2:36" ht="18.75" hidden="1">
      <c r="B73" s="468" t="s">
        <v>565</v>
      </c>
      <c r="C73" s="490"/>
      <c r="D73" s="468"/>
      <c r="E73" s="487"/>
      <c r="F73" s="493"/>
      <c r="G73" s="493"/>
      <c r="H73" s="466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8"/>
      <c r="T73" s="488"/>
      <c r="U73" s="488"/>
      <c r="V73" s="477"/>
      <c r="W73" s="492"/>
      <c r="X73" s="492"/>
      <c r="Y73" s="487"/>
      <c r="Z73" s="487"/>
      <c r="AA73" s="487"/>
      <c r="AB73" s="487"/>
      <c r="AC73" s="487"/>
      <c r="AD73" s="487"/>
      <c r="AE73" s="487"/>
      <c r="AF73" s="487"/>
      <c r="AG73" s="487"/>
      <c r="AI73" s="5"/>
      <c r="AJ73" s="5"/>
    </row>
    <row r="74" spans="2:36" ht="18.75" hidden="1">
      <c r="B74" s="468" t="s">
        <v>565</v>
      </c>
      <c r="C74" s="490"/>
      <c r="D74" s="468"/>
      <c r="E74" s="487"/>
      <c r="F74" s="493"/>
      <c r="G74" s="493"/>
      <c r="H74" s="466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8"/>
      <c r="T74" s="488"/>
      <c r="U74" s="488"/>
      <c r="V74" s="477"/>
      <c r="W74" s="492"/>
      <c r="X74" s="492"/>
      <c r="Y74" s="487"/>
      <c r="Z74" s="487"/>
      <c r="AA74" s="487"/>
      <c r="AB74" s="487"/>
      <c r="AC74" s="487"/>
      <c r="AD74" s="487"/>
      <c r="AE74" s="487"/>
      <c r="AF74" s="487"/>
      <c r="AG74" s="487"/>
      <c r="AI74" s="5"/>
      <c r="AJ74" s="5"/>
    </row>
    <row r="75" spans="2:36" ht="18.75" hidden="1">
      <c r="B75" s="468" t="s">
        <v>565</v>
      </c>
      <c r="C75" s="490"/>
      <c r="D75" s="468"/>
      <c r="E75" s="487"/>
      <c r="F75" s="493"/>
      <c r="G75" s="493"/>
      <c r="H75" s="466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8"/>
      <c r="T75" s="488"/>
      <c r="U75" s="488"/>
      <c r="V75" s="477"/>
      <c r="W75" s="492"/>
      <c r="X75" s="492"/>
      <c r="Y75" s="487"/>
      <c r="Z75" s="487"/>
      <c r="AA75" s="487"/>
      <c r="AB75" s="487"/>
      <c r="AC75" s="487"/>
      <c r="AD75" s="487"/>
      <c r="AE75" s="487"/>
      <c r="AF75" s="487"/>
      <c r="AG75" s="487"/>
      <c r="AI75" s="5"/>
      <c r="AJ75" s="5"/>
    </row>
    <row r="76" spans="2:36" ht="18.75" hidden="1">
      <c r="B76" s="468" t="s">
        <v>565</v>
      </c>
      <c r="C76" s="490"/>
      <c r="D76" s="468"/>
      <c r="E76" s="487"/>
      <c r="F76" s="493"/>
      <c r="G76" s="493"/>
      <c r="H76" s="466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8"/>
      <c r="T76" s="488"/>
      <c r="U76" s="488"/>
      <c r="V76" s="477"/>
      <c r="W76" s="492"/>
      <c r="X76" s="492"/>
      <c r="Y76" s="487"/>
      <c r="Z76" s="487"/>
      <c r="AA76" s="487"/>
      <c r="AB76" s="487"/>
      <c r="AC76" s="487"/>
      <c r="AD76" s="487"/>
      <c r="AE76" s="487"/>
      <c r="AF76" s="487"/>
      <c r="AG76" s="487"/>
      <c r="AI76" s="5"/>
      <c r="AJ76" s="5"/>
    </row>
    <row r="77" spans="2:36" ht="18.75" hidden="1">
      <c r="B77" s="468" t="s">
        <v>566</v>
      </c>
      <c r="C77" s="490"/>
      <c r="D77" s="468"/>
      <c r="E77" s="487"/>
      <c r="F77" s="493"/>
      <c r="G77" s="493"/>
      <c r="H77" s="466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8"/>
      <c r="T77" s="488"/>
      <c r="U77" s="488"/>
      <c r="V77" s="477"/>
      <c r="W77" s="492"/>
      <c r="X77" s="492"/>
      <c r="Y77" s="487"/>
      <c r="Z77" s="487"/>
      <c r="AA77" s="487"/>
      <c r="AB77" s="487"/>
      <c r="AC77" s="487"/>
      <c r="AD77" s="487"/>
      <c r="AE77" s="487"/>
      <c r="AF77" s="487"/>
      <c r="AG77" s="487"/>
      <c r="AI77" s="5"/>
      <c r="AJ77" s="5"/>
    </row>
    <row r="78" spans="2:36" ht="18.75" hidden="1">
      <c r="B78" s="468" t="s">
        <v>566</v>
      </c>
      <c r="C78" s="490"/>
      <c r="D78" s="468"/>
      <c r="E78" s="487"/>
      <c r="F78" s="493"/>
      <c r="G78" s="493"/>
      <c r="H78" s="466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8"/>
      <c r="T78" s="488"/>
      <c r="U78" s="488"/>
      <c r="V78" s="477"/>
      <c r="W78" s="492"/>
      <c r="X78" s="492"/>
      <c r="Y78" s="487"/>
      <c r="Z78" s="487"/>
      <c r="AA78" s="487"/>
      <c r="AB78" s="487"/>
      <c r="AC78" s="487"/>
      <c r="AD78" s="487"/>
      <c r="AE78" s="487"/>
      <c r="AF78" s="487"/>
      <c r="AG78" s="487"/>
      <c r="AI78" s="5"/>
      <c r="AJ78" s="5"/>
    </row>
    <row r="79" spans="2:36" ht="18.75" hidden="1">
      <c r="B79" s="468" t="s">
        <v>566</v>
      </c>
      <c r="C79" s="490"/>
      <c r="D79" s="468"/>
      <c r="E79" s="487"/>
      <c r="F79" s="493"/>
      <c r="G79" s="493"/>
      <c r="H79" s="466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8"/>
      <c r="T79" s="488"/>
      <c r="U79" s="488"/>
      <c r="V79" s="477"/>
      <c r="W79" s="492"/>
      <c r="X79" s="492"/>
      <c r="Y79" s="487"/>
      <c r="Z79" s="487"/>
      <c r="AA79" s="487"/>
      <c r="AB79" s="487"/>
      <c r="AC79" s="487"/>
      <c r="AD79" s="487"/>
      <c r="AE79" s="487"/>
      <c r="AF79" s="487"/>
      <c r="AG79" s="487"/>
      <c r="AI79" s="5"/>
      <c r="AJ79" s="5"/>
    </row>
    <row r="80" spans="2:36" ht="18.75" hidden="1">
      <c r="B80" s="468" t="s">
        <v>566</v>
      </c>
      <c r="C80" s="490"/>
      <c r="D80" s="468"/>
      <c r="E80" s="487"/>
      <c r="F80" s="493"/>
      <c r="G80" s="493"/>
      <c r="H80" s="466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8"/>
      <c r="T80" s="488"/>
      <c r="U80" s="488"/>
      <c r="V80" s="477"/>
      <c r="W80" s="492"/>
      <c r="X80" s="492"/>
      <c r="Y80" s="487"/>
      <c r="Z80" s="487"/>
      <c r="AA80" s="487"/>
      <c r="AB80" s="487"/>
      <c r="AC80" s="487"/>
      <c r="AD80" s="487"/>
      <c r="AE80" s="487"/>
      <c r="AF80" s="487"/>
      <c r="AG80" s="487"/>
      <c r="AI80" s="5"/>
      <c r="AJ80" s="5"/>
    </row>
    <row r="81" spans="2:36" ht="18.75" hidden="1">
      <c r="B81" s="468" t="s">
        <v>566</v>
      </c>
      <c r="C81" s="490"/>
      <c r="D81" s="468"/>
      <c r="E81" s="487"/>
      <c r="F81" s="493"/>
      <c r="G81" s="493"/>
      <c r="H81" s="466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8"/>
      <c r="T81" s="488"/>
      <c r="U81" s="488"/>
      <c r="V81" s="477"/>
      <c r="W81" s="492"/>
      <c r="X81" s="492"/>
      <c r="Y81" s="487"/>
      <c r="Z81" s="487"/>
      <c r="AA81" s="487"/>
      <c r="AB81" s="487"/>
      <c r="AC81" s="487"/>
      <c r="AD81" s="487"/>
      <c r="AE81" s="487"/>
      <c r="AF81" s="487"/>
      <c r="AG81" s="487"/>
      <c r="AI81" s="5"/>
      <c r="AJ81" s="5"/>
    </row>
    <row r="82" spans="2:36" ht="18.75" hidden="1">
      <c r="B82" s="468" t="s">
        <v>566</v>
      </c>
      <c r="C82" s="490"/>
      <c r="D82" s="468"/>
      <c r="E82" s="487"/>
      <c r="F82" s="493"/>
      <c r="G82" s="493"/>
      <c r="H82" s="466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8"/>
      <c r="T82" s="488"/>
      <c r="U82" s="488"/>
      <c r="V82" s="477"/>
      <c r="W82" s="492"/>
      <c r="X82" s="492"/>
      <c r="Y82" s="487"/>
      <c r="Z82" s="487"/>
      <c r="AA82" s="487"/>
      <c r="AB82" s="487"/>
      <c r="AC82" s="487"/>
      <c r="AD82" s="487"/>
      <c r="AE82" s="487"/>
      <c r="AF82" s="487"/>
      <c r="AG82" s="487"/>
      <c r="AI82" s="5"/>
      <c r="AJ82" s="5"/>
    </row>
    <row r="83" spans="2:36" ht="18.75">
      <c r="B83" s="468" t="s">
        <v>567</v>
      </c>
      <c r="C83" s="490"/>
      <c r="D83" s="468"/>
      <c r="E83" s="487"/>
      <c r="F83" s="493"/>
      <c r="G83" s="493"/>
      <c r="H83" s="466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8"/>
      <c r="T83" s="488"/>
      <c r="U83" s="488"/>
      <c r="V83" s="477"/>
      <c r="W83" s="492"/>
      <c r="X83" s="492"/>
      <c r="Y83" s="487"/>
      <c r="Z83" s="487"/>
      <c r="AA83" s="487"/>
      <c r="AB83" s="487"/>
      <c r="AC83" s="487"/>
      <c r="AD83" s="487"/>
      <c r="AE83" s="487"/>
      <c r="AF83" s="487"/>
      <c r="AG83" s="487"/>
      <c r="AI83" s="5"/>
      <c r="AJ83" s="5"/>
    </row>
    <row r="84" spans="2:36" ht="18.75">
      <c r="B84" s="468" t="s">
        <v>567</v>
      </c>
      <c r="C84" s="490"/>
      <c r="D84" s="468"/>
      <c r="E84" s="487"/>
      <c r="F84" s="493"/>
      <c r="G84" s="493"/>
      <c r="H84" s="466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8"/>
      <c r="T84" s="488"/>
      <c r="U84" s="488"/>
      <c r="V84" s="477"/>
      <c r="W84" s="492"/>
      <c r="X84" s="492"/>
      <c r="Y84" s="487"/>
      <c r="Z84" s="487"/>
      <c r="AA84" s="487"/>
      <c r="AB84" s="487"/>
      <c r="AC84" s="487"/>
      <c r="AD84" s="487"/>
      <c r="AE84" s="487"/>
      <c r="AF84" s="487"/>
      <c r="AG84" s="487"/>
      <c r="AI84" s="5"/>
      <c r="AJ84" s="5"/>
    </row>
    <row r="85" spans="2:36" ht="18.75" hidden="1">
      <c r="B85" s="468" t="s">
        <v>567</v>
      </c>
      <c r="C85" s="490"/>
      <c r="D85" s="468"/>
      <c r="E85" s="487"/>
      <c r="F85" s="493"/>
      <c r="G85" s="493"/>
      <c r="H85" s="466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8"/>
      <c r="T85" s="488"/>
      <c r="U85" s="488"/>
      <c r="V85" s="477"/>
      <c r="W85" s="492"/>
      <c r="X85" s="492"/>
      <c r="Y85" s="487"/>
      <c r="Z85" s="487"/>
      <c r="AA85" s="487"/>
      <c r="AB85" s="487"/>
      <c r="AC85" s="487"/>
      <c r="AD85" s="487"/>
      <c r="AE85" s="487"/>
      <c r="AF85" s="487"/>
      <c r="AG85" s="487"/>
      <c r="AI85" s="5"/>
      <c r="AJ85" s="5"/>
    </row>
    <row r="86" spans="2:36" ht="18.75" hidden="1">
      <c r="B86" s="468" t="s">
        <v>567</v>
      </c>
      <c r="C86" s="490"/>
      <c r="D86" s="468"/>
      <c r="E86" s="487"/>
      <c r="F86" s="493"/>
      <c r="G86" s="493"/>
      <c r="H86" s="466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8"/>
      <c r="T86" s="488"/>
      <c r="U86" s="488"/>
      <c r="V86" s="477"/>
      <c r="W86" s="492"/>
      <c r="X86" s="492"/>
      <c r="Y86" s="487"/>
      <c r="Z86" s="487"/>
      <c r="AA86" s="487"/>
      <c r="AB86" s="487"/>
      <c r="AC86" s="487"/>
      <c r="AD86" s="487"/>
      <c r="AE86" s="487"/>
      <c r="AF86" s="487"/>
      <c r="AG86" s="487"/>
      <c r="AI86" s="5"/>
      <c r="AJ86" s="5"/>
    </row>
    <row r="87" spans="2:36" ht="18.75" hidden="1">
      <c r="B87" s="468" t="s">
        <v>567</v>
      </c>
      <c r="C87" s="490"/>
      <c r="D87" s="468"/>
      <c r="E87" s="487"/>
      <c r="F87" s="493"/>
      <c r="G87" s="493"/>
      <c r="H87" s="466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8"/>
      <c r="T87" s="488"/>
      <c r="U87" s="488"/>
      <c r="V87" s="477"/>
      <c r="W87" s="492"/>
      <c r="X87" s="492"/>
      <c r="Y87" s="487"/>
      <c r="Z87" s="487"/>
      <c r="AA87" s="487"/>
      <c r="AB87" s="487"/>
      <c r="AC87" s="487"/>
      <c r="AD87" s="487"/>
      <c r="AE87" s="487"/>
      <c r="AF87" s="487"/>
      <c r="AG87" s="487"/>
      <c r="AI87" s="5"/>
      <c r="AJ87" s="5"/>
    </row>
    <row r="88" spans="2:36" ht="18.75" hidden="1">
      <c r="B88" s="468" t="s">
        <v>567</v>
      </c>
      <c r="C88" s="490"/>
      <c r="D88" s="468"/>
      <c r="E88" s="487"/>
      <c r="F88" s="493"/>
      <c r="G88" s="493"/>
      <c r="H88" s="466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8"/>
      <c r="T88" s="488"/>
      <c r="U88" s="488"/>
      <c r="V88" s="477"/>
      <c r="W88" s="492"/>
      <c r="X88" s="492"/>
      <c r="Y88" s="487"/>
      <c r="Z88" s="487"/>
      <c r="AA88" s="487"/>
      <c r="AB88" s="487"/>
      <c r="AC88" s="487"/>
      <c r="AD88" s="487"/>
      <c r="AE88" s="487"/>
      <c r="AF88" s="487"/>
      <c r="AG88" s="487"/>
      <c r="AI88" s="5"/>
      <c r="AJ88" s="5"/>
    </row>
    <row r="89" spans="2:36" ht="18.75">
      <c r="B89" s="468" t="s">
        <v>568</v>
      </c>
      <c r="C89" s="490"/>
      <c r="D89" s="468"/>
      <c r="E89" s="487"/>
      <c r="F89" s="493"/>
      <c r="G89" s="493"/>
      <c r="H89" s="466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8"/>
      <c r="T89" s="488"/>
      <c r="U89" s="488"/>
      <c r="V89" s="477"/>
      <c r="W89" s="492"/>
      <c r="X89" s="492"/>
      <c r="Y89" s="487"/>
      <c r="Z89" s="487"/>
      <c r="AA89" s="487"/>
      <c r="AB89" s="487"/>
      <c r="AC89" s="487"/>
      <c r="AD89" s="487"/>
      <c r="AE89" s="487"/>
      <c r="AF89" s="487"/>
      <c r="AG89" s="487"/>
      <c r="AI89" s="5"/>
      <c r="AJ89" s="5"/>
    </row>
    <row r="90" spans="2:36" ht="18.75">
      <c r="B90" s="468" t="s">
        <v>568</v>
      </c>
      <c r="C90" s="490"/>
      <c r="D90" s="468"/>
      <c r="E90" s="487"/>
      <c r="F90" s="493"/>
      <c r="G90" s="493"/>
      <c r="H90" s="466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8"/>
      <c r="T90" s="488"/>
      <c r="U90" s="488"/>
      <c r="V90" s="477"/>
      <c r="W90" s="492"/>
      <c r="X90" s="492"/>
      <c r="Y90" s="487"/>
      <c r="Z90" s="487"/>
      <c r="AA90" s="487"/>
      <c r="AB90" s="487"/>
      <c r="AC90" s="487"/>
      <c r="AD90" s="487"/>
      <c r="AE90" s="487"/>
      <c r="AF90" s="487"/>
      <c r="AG90" s="487"/>
      <c r="AI90" s="5"/>
      <c r="AJ90" s="5"/>
    </row>
    <row r="91" spans="2:36" ht="18.75" hidden="1">
      <c r="B91" s="468" t="s">
        <v>568</v>
      </c>
      <c r="C91" s="490"/>
      <c r="D91" s="468"/>
      <c r="E91" s="487"/>
      <c r="F91" s="493"/>
      <c r="G91" s="493"/>
      <c r="H91" s="466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8"/>
      <c r="T91" s="488"/>
      <c r="U91" s="488"/>
      <c r="V91" s="477"/>
      <c r="W91" s="492"/>
      <c r="X91" s="492"/>
      <c r="Y91" s="487"/>
      <c r="Z91" s="487"/>
      <c r="AA91" s="487"/>
      <c r="AB91" s="487"/>
      <c r="AC91" s="487"/>
      <c r="AD91" s="487"/>
      <c r="AE91" s="487"/>
      <c r="AF91" s="487"/>
      <c r="AG91" s="487"/>
      <c r="AI91" s="5"/>
      <c r="AJ91" s="5"/>
    </row>
    <row r="92" spans="2:36" ht="18.75" hidden="1">
      <c r="B92" s="468" t="s">
        <v>568</v>
      </c>
      <c r="C92" s="490"/>
      <c r="D92" s="468"/>
      <c r="E92" s="487"/>
      <c r="F92" s="493"/>
      <c r="G92" s="493"/>
      <c r="H92" s="466"/>
      <c r="I92" s="487"/>
      <c r="J92" s="487"/>
      <c r="K92" s="487"/>
      <c r="L92" s="487"/>
      <c r="M92" s="487"/>
      <c r="N92" s="487"/>
      <c r="O92" s="487"/>
      <c r="P92" s="487"/>
      <c r="Q92" s="487"/>
      <c r="R92" s="487"/>
      <c r="S92" s="488"/>
      <c r="T92" s="488"/>
      <c r="U92" s="488"/>
      <c r="V92" s="477"/>
      <c r="W92" s="492"/>
      <c r="X92" s="492"/>
      <c r="Y92" s="487"/>
      <c r="Z92" s="487"/>
      <c r="AA92" s="487"/>
      <c r="AB92" s="487"/>
      <c r="AC92" s="487"/>
      <c r="AD92" s="487"/>
      <c r="AE92" s="487"/>
      <c r="AF92" s="487"/>
      <c r="AG92" s="487"/>
      <c r="AI92" s="5"/>
      <c r="AJ92" s="5"/>
    </row>
    <row r="93" spans="2:36" ht="18.75" hidden="1">
      <c r="B93" s="468" t="s">
        <v>568</v>
      </c>
      <c r="C93" s="490"/>
      <c r="D93" s="468"/>
      <c r="E93" s="487"/>
      <c r="F93" s="493"/>
      <c r="G93" s="493"/>
      <c r="H93" s="466"/>
      <c r="I93" s="487"/>
      <c r="J93" s="487"/>
      <c r="K93" s="487"/>
      <c r="L93" s="487"/>
      <c r="M93" s="487"/>
      <c r="N93" s="487"/>
      <c r="O93" s="487"/>
      <c r="P93" s="487"/>
      <c r="Q93" s="487"/>
      <c r="R93" s="487"/>
      <c r="S93" s="488"/>
      <c r="T93" s="488"/>
      <c r="U93" s="488"/>
      <c r="V93" s="477"/>
      <c r="W93" s="492"/>
      <c r="X93" s="492"/>
      <c r="Y93" s="487"/>
      <c r="Z93" s="487"/>
      <c r="AA93" s="487"/>
      <c r="AB93" s="487"/>
      <c r="AC93" s="487"/>
      <c r="AD93" s="487"/>
      <c r="AE93" s="487"/>
      <c r="AF93" s="487"/>
      <c r="AG93" s="487"/>
      <c r="AI93" s="5"/>
      <c r="AJ93" s="5"/>
    </row>
    <row r="94" spans="2:36" ht="18.75" hidden="1">
      <c r="B94" s="468" t="s">
        <v>568</v>
      </c>
      <c r="C94" s="490"/>
      <c r="D94" s="468"/>
      <c r="E94" s="487"/>
      <c r="F94" s="493"/>
      <c r="G94" s="493"/>
      <c r="H94" s="466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8"/>
      <c r="T94" s="488"/>
      <c r="U94" s="488"/>
      <c r="V94" s="477"/>
      <c r="W94" s="492"/>
      <c r="X94" s="492"/>
      <c r="Y94" s="487"/>
      <c r="Z94" s="487"/>
      <c r="AA94" s="487"/>
      <c r="AB94" s="487"/>
      <c r="AC94" s="487"/>
      <c r="AD94" s="487"/>
      <c r="AE94" s="487"/>
      <c r="AF94" s="487"/>
      <c r="AG94" s="487"/>
      <c r="AI94" s="5"/>
      <c r="AJ94" s="5"/>
    </row>
    <row r="95" spans="2:36" ht="18.75">
      <c r="B95" s="468" t="s">
        <v>569</v>
      </c>
      <c r="C95" s="490"/>
      <c r="D95" s="468"/>
      <c r="E95" s="487"/>
      <c r="F95" s="493"/>
      <c r="G95" s="493"/>
      <c r="H95" s="466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8"/>
      <c r="T95" s="488"/>
      <c r="U95" s="488"/>
      <c r="V95" s="477"/>
      <c r="W95" s="492"/>
      <c r="X95" s="492"/>
      <c r="Y95" s="487"/>
      <c r="Z95" s="487"/>
      <c r="AA95" s="487"/>
      <c r="AB95" s="487"/>
      <c r="AC95" s="487"/>
      <c r="AD95" s="487"/>
      <c r="AE95" s="487"/>
      <c r="AF95" s="487"/>
      <c r="AG95" s="487"/>
      <c r="AI95" s="5"/>
      <c r="AJ95" s="5"/>
    </row>
    <row r="96" spans="2:36" ht="19.5" thickBot="1">
      <c r="B96" s="468" t="s">
        <v>569</v>
      </c>
      <c r="C96" s="490"/>
      <c r="D96" s="468"/>
      <c r="E96" s="487"/>
      <c r="F96" s="493"/>
      <c r="G96" s="493"/>
      <c r="H96" s="466"/>
      <c r="I96" s="487"/>
      <c r="J96" s="487"/>
      <c r="K96" s="487"/>
      <c r="L96" s="487"/>
      <c r="M96" s="487"/>
      <c r="N96" s="487"/>
      <c r="O96" s="487"/>
      <c r="P96" s="487"/>
      <c r="Q96" s="487"/>
      <c r="R96" s="487"/>
      <c r="S96" s="488"/>
      <c r="T96" s="488"/>
      <c r="U96" s="488"/>
      <c r="V96" s="477"/>
      <c r="W96" s="487"/>
      <c r="X96" s="487"/>
      <c r="Y96" s="487"/>
      <c r="Z96" s="487"/>
      <c r="AA96" s="487"/>
      <c r="AB96" s="487"/>
      <c r="AC96" s="487"/>
      <c r="AD96" s="487"/>
      <c r="AE96" s="487"/>
      <c r="AF96" s="487"/>
      <c r="AG96" s="487"/>
      <c r="AI96" s="5"/>
      <c r="AJ96" s="5"/>
    </row>
    <row r="97" spans="2:36" ht="19.5" hidden="1" thickBot="1">
      <c r="B97" s="468" t="s">
        <v>569</v>
      </c>
      <c r="C97" s="490">
        <v>44560</v>
      </c>
      <c r="D97" s="468" t="s">
        <v>554</v>
      </c>
      <c r="E97" s="487">
        <f>+'[14]retiros o dividendos ejercicio'!D16</f>
        <v>0</v>
      </c>
      <c r="F97" s="493"/>
      <c r="G97" s="493"/>
      <c r="H97" s="466">
        <f t="shared" ref="H97:H100" si="5">SUM(I97:R97)</f>
        <v>0</v>
      </c>
      <c r="I97" s="487"/>
      <c r="J97" s="487"/>
      <c r="K97" s="487"/>
      <c r="L97" s="487"/>
      <c r="M97" s="487"/>
      <c r="N97" s="487"/>
      <c r="O97" s="487"/>
      <c r="P97" s="487"/>
      <c r="Q97" s="487"/>
      <c r="R97" s="487"/>
      <c r="S97" s="488"/>
      <c r="T97" s="488"/>
      <c r="U97" s="488"/>
      <c r="V97" s="488"/>
      <c r="W97" s="487"/>
      <c r="X97" s="487"/>
      <c r="Y97" s="487"/>
      <c r="Z97" s="487"/>
      <c r="AA97" s="487"/>
      <c r="AB97" s="487"/>
      <c r="AC97" s="487"/>
      <c r="AD97" s="487"/>
      <c r="AE97" s="487"/>
      <c r="AF97" s="487"/>
      <c r="AG97" s="487"/>
      <c r="AI97" s="5"/>
      <c r="AJ97" s="5"/>
    </row>
    <row r="98" spans="2:36" ht="19.5" hidden="1" thickBot="1">
      <c r="B98" s="468" t="s">
        <v>569</v>
      </c>
      <c r="C98" s="490">
        <v>44560</v>
      </c>
      <c r="D98" s="468" t="s">
        <v>556</v>
      </c>
      <c r="E98" s="487">
        <f>+'[14]retiros o dividendos ejercicio'!E16</f>
        <v>0</v>
      </c>
      <c r="F98" s="493"/>
      <c r="G98" s="493"/>
      <c r="H98" s="466">
        <f t="shared" si="5"/>
        <v>0</v>
      </c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8"/>
      <c r="T98" s="488"/>
      <c r="U98" s="488"/>
      <c r="V98" s="488"/>
      <c r="W98" s="487"/>
      <c r="X98" s="487"/>
      <c r="Y98" s="487"/>
      <c r="Z98" s="487"/>
      <c r="AA98" s="487"/>
      <c r="AB98" s="487"/>
      <c r="AC98" s="487"/>
      <c r="AD98" s="487"/>
      <c r="AE98" s="487"/>
      <c r="AF98" s="487"/>
      <c r="AG98" s="487"/>
      <c r="AI98" s="5"/>
      <c r="AJ98" s="5"/>
    </row>
    <row r="99" spans="2:36" ht="19.5" hidden="1" thickBot="1">
      <c r="B99" s="468" t="s">
        <v>569</v>
      </c>
      <c r="C99" s="490">
        <v>44560</v>
      </c>
      <c r="D99" s="468" t="s">
        <v>557</v>
      </c>
      <c r="E99" s="487">
        <f>+'[14]retiros o dividendos ejercicio'!F16</f>
        <v>0</v>
      </c>
      <c r="F99" s="493"/>
      <c r="G99" s="493"/>
      <c r="H99" s="466">
        <f t="shared" si="5"/>
        <v>0</v>
      </c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8"/>
      <c r="T99" s="488"/>
      <c r="U99" s="488"/>
      <c r="V99" s="488"/>
      <c r="W99" s="487"/>
      <c r="X99" s="487"/>
      <c r="Y99" s="487"/>
      <c r="Z99" s="487"/>
      <c r="AA99" s="487"/>
      <c r="AB99" s="487"/>
      <c r="AC99" s="487"/>
      <c r="AD99" s="487"/>
      <c r="AE99" s="487"/>
      <c r="AF99" s="487"/>
      <c r="AG99" s="487"/>
      <c r="AI99" s="5"/>
      <c r="AJ99" s="5"/>
    </row>
    <row r="100" spans="2:36" ht="19.5" hidden="1" thickBot="1">
      <c r="B100" s="468" t="s">
        <v>569</v>
      </c>
      <c r="C100" s="490">
        <v>44560</v>
      </c>
      <c r="D100" s="468" t="s">
        <v>558</v>
      </c>
      <c r="E100" s="496">
        <f>+'[14]retiros o dividendos ejercicio'!G16</f>
        <v>0</v>
      </c>
      <c r="F100" s="497"/>
      <c r="G100" s="497"/>
      <c r="H100" s="466">
        <f t="shared" si="5"/>
        <v>0</v>
      </c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82"/>
      <c r="T100" s="482"/>
      <c r="U100" s="482"/>
      <c r="V100" s="482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I100" s="5"/>
      <c r="AJ100" s="5"/>
    </row>
    <row r="101" spans="2:36" ht="19.5" thickBot="1">
      <c r="B101" s="498" t="s">
        <v>570</v>
      </c>
      <c r="C101" s="499"/>
      <c r="D101" s="499"/>
      <c r="E101" s="462">
        <f t="shared" ref="E101:G101" si="6">SUM(E29:E100)</f>
        <v>0</v>
      </c>
      <c r="F101" s="462">
        <f t="shared" si="6"/>
        <v>0</v>
      </c>
      <c r="G101" s="462">
        <f t="shared" si="6"/>
        <v>0</v>
      </c>
      <c r="H101" s="462">
        <f>SUM(H29:H100)</f>
        <v>0</v>
      </c>
      <c r="I101" s="462">
        <f>SUM(I29:I100)</f>
        <v>0</v>
      </c>
      <c r="J101" s="462">
        <f t="shared" ref="J101:AG101" si="7">SUM(J29:J100)</f>
        <v>0</v>
      </c>
      <c r="K101" s="462">
        <f t="shared" si="7"/>
        <v>0</v>
      </c>
      <c r="L101" s="462">
        <f t="shared" si="7"/>
        <v>0</v>
      </c>
      <c r="M101" s="462">
        <f t="shared" si="7"/>
        <v>0</v>
      </c>
      <c r="N101" s="462">
        <f t="shared" si="7"/>
        <v>0</v>
      </c>
      <c r="O101" s="462">
        <f t="shared" si="7"/>
        <v>0</v>
      </c>
      <c r="P101" s="462">
        <f t="shared" si="7"/>
        <v>0</v>
      </c>
      <c r="Q101" s="462">
        <f t="shared" si="7"/>
        <v>0</v>
      </c>
      <c r="R101" s="462">
        <f t="shared" si="7"/>
        <v>0</v>
      </c>
      <c r="S101" s="462">
        <f t="shared" si="7"/>
        <v>0</v>
      </c>
      <c r="T101" s="462">
        <f t="shared" si="7"/>
        <v>0</v>
      </c>
      <c r="U101" s="462">
        <f t="shared" si="7"/>
        <v>0</v>
      </c>
      <c r="V101" s="462">
        <f t="shared" si="7"/>
        <v>0</v>
      </c>
      <c r="W101" s="462">
        <f t="shared" si="7"/>
        <v>0</v>
      </c>
      <c r="X101" s="462">
        <f t="shared" si="7"/>
        <v>0</v>
      </c>
      <c r="Y101" s="462">
        <f t="shared" si="7"/>
        <v>0</v>
      </c>
      <c r="Z101" s="462">
        <f t="shared" si="7"/>
        <v>0</v>
      </c>
      <c r="AA101" s="462">
        <f t="shared" si="7"/>
        <v>0</v>
      </c>
      <c r="AB101" s="462">
        <f t="shared" si="7"/>
        <v>0</v>
      </c>
      <c r="AC101" s="462">
        <f t="shared" si="7"/>
        <v>0</v>
      </c>
      <c r="AD101" s="462">
        <f t="shared" si="7"/>
        <v>0</v>
      </c>
      <c r="AE101" s="462">
        <f t="shared" si="7"/>
        <v>0</v>
      </c>
      <c r="AF101" s="462">
        <f t="shared" si="7"/>
        <v>0</v>
      </c>
      <c r="AG101" s="500">
        <f t="shared" si="7"/>
        <v>0</v>
      </c>
      <c r="AI101" s="5"/>
      <c r="AJ101" s="5"/>
    </row>
    <row r="102" spans="2:36" ht="19.5" thickBot="1">
      <c r="B102" s="501" t="s">
        <v>571</v>
      </c>
      <c r="C102" s="501"/>
      <c r="D102" s="501"/>
      <c r="E102" s="25"/>
      <c r="F102" s="487"/>
      <c r="G102" s="493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8"/>
      <c r="T102" s="488"/>
      <c r="U102" s="488"/>
      <c r="V102" s="488"/>
      <c r="W102" s="487"/>
      <c r="X102" s="487"/>
      <c r="Y102" s="487"/>
      <c r="Z102" s="487"/>
      <c r="AA102" s="487"/>
      <c r="AB102" s="487"/>
      <c r="AC102" s="487"/>
      <c r="AD102" s="487"/>
      <c r="AE102" s="487"/>
      <c r="AF102" s="487"/>
      <c r="AG102" s="487"/>
      <c r="AI102" s="5"/>
      <c r="AJ102" s="5"/>
    </row>
    <row r="103" spans="2:36" s="9" customFormat="1" ht="19.5" hidden="1" thickBot="1">
      <c r="B103" s="502" t="s">
        <v>572</v>
      </c>
      <c r="C103" s="502"/>
      <c r="D103" s="502"/>
      <c r="E103" s="493"/>
      <c r="F103" s="487"/>
      <c r="G103" s="474"/>
      <c r="H103" s="487"/>
      <c r="I103" s="487"/>
      <c r="J103" s="493"/>
      <c r="K103" s="493"/>
      <c r="L103" s="493"/>
      <c r="M103" s="493"/>
      <c r="N103" s="493"/>
      <c r="O103" s="493"/>
      <c r="P103" s="493"/>
      <c r="Q103" s="493"/>
      <c r="R103" s="493"/>
      <c r="S103" s="494"/>
      <c r="T103" s="494"/>
      <c r="U103" s="494"/>
      <c r="V103" s="494"/>
      <c r="W103" s="493"/>
      <c r="X103" s="493"/>
      <c r="Y103" s="493"/>
      <c r="Z103" s="493"/>
      <c r="AA103" s="492"/>
      <c r="AB103" s="493"/>
      <c r="AC103" s="493"/>
      <c r="AD103" s="493"/>
      <c r="AE103" s="493"/>
      <c r="AF103" s="493"/>
      <c r="AG103" s="493"/>
      <c r="AH103" s="415"/>
      <c r="AI103" s="503"/>
      <c r="AJ103" s="464"/>
    </row>
    <row r="104" spans="2:36" s="9" customFormat="1" ht="19.5" hidden="1" thickBot="1">
      <c r="B104" s="502" t="s">
        <v>573</v>
      </c>
      <c r="C104" s="502"/>
      <c r="D104" s="502"/>
      <c r="E104" s="493"/>
      <c r="F104" s="487"/>
      <c r="G104" s="474"/>
      <c r="H104" s="487"/>
      <c r="I104" s="487"/>
      <c r="J104" s="493"/>
      <c r="K104" s="493"/>
      <c r="L104" s="493"/>
      <c r="M104" s="493"/>
      <c r="N104" s="493"/>
      <c r="O104" s="493"/>
      <c r="P104" s="493"/>
      <c r="Q104" s="493"/>
      <c r="R104" s="493"/>
      <c r="S104" s="494"/>
      <c r="T104" s="494"/>
      <c r="U104" s="494"/>
      <c r="V104" s="494"/>
      <c r="W104" s="493"/>
      <c r="X104" s="493"/>
      <c r="Y104" s="493"/>
      <c r="Z104" s="493"/>
      <c r="AA104" s="492"/>
      <c r="AB104" s="493"/>
      <c r="AC104" s="493"/>
      <c r="AD104" s="493"/>
      <c r="AE104" s="493"/>
      <c r="AF104" s="493"/>
      <c r="AG104" s="493"/>
      <c r="AH104" s="415"/>
      <c r="AI104" s="503"/>
      <c r="AJ104" s="464"/>
    </row>
    <row r="105" spans="2:36" s="9" customFormat="1" ht="19.5" hidden="1" thickBot="1">
      <c r="B105" s="502" t="s">
        <v>574</v>
      </c>
      <c r="C105" s="502"/>
      <c r="D105" s="502"/>
      <c r="E105" s="493"/>
      <c r="F105" s="487"/>
      <c r="G105" s="474"/>
      <c r="H105" s="487"/>
      <c r="I105" s="487"/>
      <c r="J105" s="493"/>
      <c r="K105" s="493"/>
      <c r="L105" s="493"/>
      <c r="M105" s="493"/>
      <c r="N105" s="493"/>
      <c r="O105" s="493"/>
      <c r="P105" s="493"/>
      <c r="Q105" s="493"/>
      <c r="R105" s="493"/>
      <c r="S105" s="494"/>
      <c r="T105" s="494"/>
      <c r="U105" s="494"/>
      <c r="V105" s="494"/>
      <c r="W105" s="493"/>
      <c r="X105" s="493"/>
      <c r="Y105" s="493"/>
      <c r="Z105" s="493"/>
      <c r="AA105" s="492"/>
      <c r="AB105" s="493"/>
      <c r="AC105" s="493"/>
      <c r="AD105" s="493"/>
      <c r="AE105" s="493"/>
      <c r="AF105" s="493"/>
      <c r="AG105" s="493"/>
      <c r="AH105" s="415"/>
      <c r="AI105" s="503"/>
      <c r="AJ105" s="464"/>
    </row>
    <row r="106" spans="2:36" s="9" customFormat="1" ht="19.5" hidden="1" thickBot="1">
      <c r="B106" s="502" t="s">
        <v>575</v>
      </c>
      <c r="C106" s="502"/>
      <c r="D106" s="502"/>
      <c r="E106" s="493"/>
      <c r="F106" s="487"/>
      <c r="G106" s="474"/>
      <c r="H106" s="487"/>
      <c r="I106" s="487"/>
      <c r="J106" s="493"/>
      <c r="K106" s="493"/>
      <c r="L106" s="493"/>
      <c r="M106" s="493"/>
      <c r="N106" s="493"/>
      <c r="O106" s="493"/>
      <c r="P106" s="493"/>
      <c r="Q106" s="493"/>
      <c r="R106" s="493"/>
      <c r="S106" s="494"/>
      <c r="T106" s="494"/>
      <c r="U106" s="494"/>
      <c r="V106" s="494"/>
      <c r="W106" s="493"/>
      <c r="X106" s="493"/>
      <c r="Y106" s="493"/>
      <c r="Z106" s="493"/>
      <c r="AA106" s="492"/>
      <c r="AB106" s="493"/>
      <c r="AC106" s="493"/>
      <c r="AD106" s="493"/>
      <c r="AE106" s="493"/>
      <c r="AF106" s="493"/>
      <c r="AG106" s="493"/>
      <c r="AH106" s="415"/>
      <c r="AI106" s="503"/>
      <c r="AJ106" s="464"/>
    </row>
    <row r="107" spans="2:36" s="9" customFormat="1" ht="19.5" hidden="1" thickBot="1">
      <c r="B107" s="502" t="s">
        <v>576</v>
      </c>
      <c r="C107" s="502"/>
      <c r="D107" s="502"/>
      <c r="E107" s="493"/>
      <c r="F107" s="487"/>
      <c r="G107" s="474"/>
      <c r="H107" s="487"/>
      <c r="I107" s="487"/>
      <c r="J107" s="493"/>
      <c r="K107" s="493"/>
      <c r="L107" s="493"/>
      <c r="M107" s="493"/>
      <c r="N107" s="493"/>
      <c r="O107" s="493"/>
      <c r="P107" s="493"/>
      <c r="Q107" s="493"/>
      <c r="R107" s="493"/>
      <c r="S107" s="494"/>
      <c r="T107" s="494"/>
      <c r="U107" s="494"/>
      <c r="V107" s="494"/>
      <c r="W107" s="493"/>
      <c r="X107" s="493"/>
      <c r="Y107" s="493"/>
      <c r="Z107" s="493"/>
      <c r="AA107" s="492"/>
      <c r="AB107" s="493"/>
      <c r="AC107" s="493"/>
      <c r="AD107" s="493"/>
      <c r="AE107" s="493"/>
      <c r="AF107" s="493"/>
      <c r="AG107" s="493"/>
      <c r="AH107" s="415"/>
      <c r="AI107" s="503"/>
      <c r="AJ107" s="464"/>
    </row>
    <row r="108" spans="2:36" s="9" customFormat="1" ht="19.5" hidden="1" thickBot="1">
      <c r="B108" s="504" t="s">
        <v>577</v>
      </c>
      <c r="C108" s="504"/>
      <c r="D108" s="504"/>
      <c r="E108" s="497"/>
      <c r="F108" s="487"/>
      <c r="G108" s="474"/>
      <c r="H108" s="487"/>
      <c r="I108" s="487"/>
      <c r="J108" s="493"/>
      <c r="K108" s="493"/>
      <c r="L108" s="493"/>
      <c r="M108" s="493"/>
      <c r="N108" s="493"/>
      <c r="O108" s="493"/>
      <c r="P108" s="493"/>
      <c r="Q108" s="493"/>
      <c r="R108" s="493"/>
      <c r="S108" s="494"/>
      <c r="T108" s="494"/>
      <c r="U108" s="494"/>
      <c r="V108" s="494"/>
      <c r="W108" s="493"/>
      <c r="X108" s="493"/>
      <c r="Y108" s="493"/>
      <c r="Z108" s="493"/>
      <c r="AA108" s="492"/>
      <c r="AB108" s="493"/>
      <c r="AC108" s="493"/>
      <c r="AD108" s="493"/>
      <c r="AE108" s="493"/>
      <c r="AF108" s="493"/>
      <c r="AG108" s="493"/>
      <c r="AH108" s="415"/>
      <c r="AI108" s="503"/>
      <c r="AJ108" s="464"/>
    </row>
    <row r="109" spans="2:36" s="9" customFormat="1" ht="19.5" thickBot="1">
      <c r="B109" s="498" t="s">
        <v>578</v>
      </c>
      <c r="C109" s="505"/>
      <c r="D109" s="505"/>
      <c r="E109" s="506">
        <f>SUM(E103:E108)</f>
        <v>0</v>
      </c>
      <c r="F109" s="507"/>
      <c r="G109" s="474"/>
      <c r="H109" s="487"/>
      <c r="I109" s="487"/>
      <c r="J109" s="493"/>
      <c r="K109" s="493"/>
      <c r="L109" s="493"/>
      <c r="M109" s="493"/>
      <c r="N109" s="493"/>
      <c r="O109" s="493"/>
      <c r="P109" s="493"/>
      <c r="Q109" s="493"/>
      <c r="R109" s="493"/>
      <c r="S109" s="494"/>
      <c r="T109" s="494"/>
      <c r="U109" s="494"/>
      <c r="V109" s="494"/>
      <c r="W109" s="493"/>
      <c r="X109" s="493"/>
      <c r="Y109" s="493"/>
      <c r="Z109" s="493"/>
      <c r="AA109" s="492"/>
      <c r="AB109" s="493"/>
      <c r="AC109" s="493"/>
      <c r="AD109" s="493"/>
      <c r="AE109" s="493"/>
      <c r="AF109" s="493"/>
      <c r="AG109" s="493"/>
      <c r="AH109" s="415"/>
      <c r="AI109" s="503"/>
      <c r="AJ109" s="464"/>
    </row>
    <row r="110" spans="2:36" s="9" customFormat="1" ht="18.75">
      <c r="B110" s="508" t="s">
        <v>579</v>
      </c>
      <c r="C110" s="508"/>
      <c r="D110" s="508"/>
      <c r="E110" s="509"/>
      <c r="F110" s="487"/>
      <c r="G110" s="474"/>
      <c r="H110" s="487"/>
      <c r="I110" s="487"/>
      <c r="J110" s="493"/>
      <c r="K110" s="493"/>
      <c r="L110" s="493"/>
      <c r="M110" s="493"/>
      <c r="N110" s="493"/>
      <c r="O110" s="493"/>
      <c r="P110" s="493"/>
      <c r="Q110" s="493"/>
      <c r="R110" s="493"/>
      <c r="S110" s="494"/>
      <c r="T110" s="494"/>
      <c r="U110" s="494"/>
      <c r="V110" s="494"/>
      <c r="W110" s="493"/>
      <c r="X110" s="493"/>
      <c r="Y110" s="493"/>
      <c r="Z110" s="493"/>
      <c r="AA110" s="492"/>
      <c r="AB110" s="493"/>
      <c r="AC110" s="493"/>
      <c r="AD110" s="493"/>
      <c r="AE110" s="493"/>
      <c r="AF110" s="493"/>
      <c r="AG110" s="493"/>
      <c r="AH110" s="415"/>
      <c r="AI110" s="503"/>
      <c r="AJ110" s="464"/>
    </row>
    <row r="111" spans="2:36" s="9" customFormat="1" ht="18.75">
      <c r="B111" s="502" t="s">
        <v>580</v>
      </c>
      <c r="C111" s="502"/>
      <c r="D111" s="502"/>
      <c r="E111" s="510">
        <f>+'balance 2022 final los andes '!I59</f>
        <v>1980000</v>
      </c>
      <c r="F111" s="487"/>
      <c r="G111" s="474"/>
      <c r="H111" s="487"/>
      <c r="I111" s="487"/>
      <c r="J111" s="493"/>
      <c r="K111" s="493"/>
      <c r="L111" s="493"/>
      <c r="M111" s="493"/>
      <c r="N111" s="493"/>
      <c r="O111" s="493"/>
      <c r="P111" s="493"/>
      <c r="Q111" s="493"/>
      <c r="R111" s="493"/>
      <c r="S111" s="494"/>
      <c r="T111" s="494"/>
      <c r="U111" s="494"/>
      <c r="V111" s="494">
        <f>-E111*X12</f>
        <v>-219999.78</v>
      </c>
      <c r="W111" s="493"/>
      <c r="X111" s="493"/>
      <c r="Y111" s="493"/>
      <c r="Z111" s="493"/>
      <c r="AA111" s="492"/>
      <c r="AB111" s="493"/>
      <c r="AC111" s="493"/>
      <c r="AD111" s="493"/>
      <c r="AE111" s="493"/>
      <c r="AF111" s="493"/>
      <c r="AG111" s="493"/>
      <c r="AH111" s="415"/>
      <c r="AI111" s="503"/>
      <c r="AJ111" s="464"/>
    </row>
    <row r="112" spans="2:36" ht="19.5" thickBot="1">
      <c r="B112" s="504" t="s">
        <v>581</v>
      </c>
      <c r="C112" s="504"/>
      <c r="D112" s="504"/>
      <c r="E112" s="511">
        <f>+'balance 2022 final los andes '!I62</f>
        <v>4000000</v>
      </c>
      <c r="F112" s="457"/>
      <c r="G112" s="457"/>
      <c r="H112" s="496"/>
      <c r="I112" s="496"/>
      <c r="J112" s="496"/>
      <c r="K112" s="496"/>
      <c r="L112" s="496"/>
      <c r="M112" s="496"/>
      <c r="N112" s="496"/>
      <c r="O112" s="496"/>
      <c r="P112" s="496"/>
      <c r="Q112" s="496"/>
      <c r="R112" s="496"/>
      <c r="S112" s="482"/>
      <c r="T112" s="482"/>
      <c r="U112" s="482"/>
      <c r="V112" s="482">
        <f>-E112*X12</f>
        <v>-444444</v>
      </c>
      <c r="W112" s="496"/>
      <c r="X112" s="496"/>
      <c r="Y112" s="496"/>
      <c r="Z112" s="496"/>
      <c r="AA112" s="496"/>
      <c r="AB112" s="496"/>
      <c r="AC112" s="496"/>
      <c r="AD112" s="496"/>
      <c r="AE112" s="496"/>
      <c r="AF112" s="496"/>
      <c r="AG112" s="496"/>
      <c r="AI112" s="5"/>
      <c r="AJ112" s="5"/>
    </row>
    <row r="113" spans="2:36" s="9" customFormat="1" ht="19.5" thickBot="1">
      <c r="B113" s="498" t="s">
        <v>582</v>
      </c>
      <c r="C113" s="499"/>
      <c r="D113" s="499"/>
      <c r="E113" s="512"/>
      <c r="F113" s="512"/>
      <c r="G113" s="512"/>
      <c r="H113" s="462">
        <f>+H27+H101</f>
        <v>0</v>
      </c>
      <c r="I113" s="462">
        <f t="shared" ref="I113:AG113" si="8">+I27+I101</f>
        <v>0</v>
      </c>
      <c r="J113" s="462">
        <f t="shared" si="8"/>
        <v>0</v>
      </c>
      <c r="K113" s="462">
        <f t="shared" si="8"/>
        <v>0</v>
      </c>
      <c r="L113" s="462">
        <f t="shared" si="8"/>
        <v>0</v>
      </c>
      <c r="M113" s="462">
        <f t="shared" si="8"/>
        <v>0</v>
      </c>
      <c r="N113" s="462">
        <f t="shared" si="8"/>
        <v>0</v>
      </c>
      <c r="O113" s="462">
        <f t="shared" si="8"/>
        <v>0</v>
      </c>
      <c r="P113" s="462">
        <f t="shared" si="8"/>
        <v>0</v>
      </c>
      <c r="Q113" s="462">
        <f t="shared" si="8"/>
        <v>0</v>
      </c>
      <c r="R113" s="462">
        <f t="shared" si="8"/>
        <v>0</v>
      </c>
      <c r="S113" s="462">
        <f t="shared" si="8"/>
        <v>0</v>
      </c>
      <c r="T113" s="462">
        <f t="shared" si="8"/>
        <v>0</v>
      </c>
      <c r="U113" s="462">
        <f t="shared" si="8"/>
        <v>0</v>
      </c>
      <c r="V113" s="462">
        <f>+V27+V101+V111+V112</f>
        <v>-664443.78</v>
      </c>
      <c r="W113" s="462">
        <f t="shared" si="8"/>
        <v>0</v>
      </c>
      <c r="X113" s="462">
        <f t="shared" si="8"/>
        <v>0</v>
      </c>
      <c r="Y113" s="462">
        <f t="shared" si="8"/>
        <v>0</v>
      </c>
      <c r="Z113" s="462">
        <f t="shared" si="8"/>
        <v>0</v>
      </c>
      <c r="AA113" s="462">
        <f t="shared" si="8"/>
        <v>0</v>
      </c>
      <c r="AB113" s="462">
        <f t="shared" si="8"/>
        <v>0</v>
      </c>
      <c r="AC113" s="462">
        <f t="shared" si="8"/>
        <v>0</v>
      </c>
      <c r="AD113" s="462">
        <f t="shared" si="8"/>
        <v>0</v>
      </c>
      <c r="AE113" s="462">
        <f t="shared" si="8"/>
        <v>0</v>
      </c>
      <c r="AF113" s="462">
        <f t="shared" si="8"/>
        <v>0</v>
      </c>
      <c r="AG113" s="462">
        <f t="shared" si="8"/>
        <v>0</v>
      </c>
      <c r="AH113" s="415"/>
      <c r="AI113" s="464">
        <f>SUM(AI16:AI103)</f>
        <v>0</v>
      </c>
      <c r="AJ113" s="464"/>
    </row>
    <row r="114" spans="2:36" ht="18.75">
      <c r="B114" s="148"/>
      <c r="C114" s="148"/>
      <c r="D114" s="14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414"/>
      <c r="T114" s="414"/>
      <c r="U114" s="414"/>
      <c r="V114" s="41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I114" s="5"/>
      <c r="AJ114" s="5"/>
    </row>
    <row r="115" spans="2:36">
      <c r="V115" s="414"/>
    </row>
  </sheetData>
  <mergeCells count="22"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  <mergeCell ref="AD11:AE11"/>
    <mergeCell ref="K12:O12"/>
    <mergeCell ref="P12:Q12"/>
    <mergeCell ref="R12:R13"/>
    <mergeCell ref="S10:V10"/>
    <mergeCell ref="W10:X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95" zoomScaleNormal="95" workbookViewId="0">
      <selection activeCell="F14" sqref="F14:F23"/>
    </sheetView>
  </sheetViews>
  <sheetFormatPr baseColWidth="10" defaultColWidth="12.5703125" defaultRowHeight="12.75" outlineLevelRow="1"/>
  <cols>
    <col min="1" max="2" width="12.5703125" style="132" customWidth="1"/>
    <col min="3" max="3" width="22.42578125" style="132" customWidth="1"/>
    <col min="4" max="4" width="22.5703125" style="132" customWidth="1"/>
    <col min="5" max="5" width="14.28515625" style="132" bestFit="1" customWidth="1"/>
    <col min="6" max="6" width="13.42578125" style="132" bestFit="1" customWidth="1"/>
    <col min="7" max="7" width="15.28515625" style="132" bestFit="1" customWidth="1"/>
    <col min="8" max="256" width="12.5703125" style="132"/>
    <col min="257" max="258" width="12.5703125" style="132" customWidth="1"/>
    <col min="259" max="259" width="22.42578125" style="132" customWidth="1"/>
    <col min="260" max="260" width="22.5703125" style="132" customWidth="1"/>
    <col min="261" max="261" width="14.28515625" style="132" bestFit="1" customWidth="1"/>
    <col min="262" max="262" width="13.42578125" style="132" bestFit="1" customWidth="1"/>
    <col min="263" max="263" width="15.28515625" style="132" bestFit="1" customWidth="1"/>
    <col min="264" max="512" width="12.5703125" style="132"/>
    <col min="513" max="514" width="12.5703125" style="132" customWidth="1"/>
    <col min="515" max="515" width="22.42578125" style="132" customWidth="1"/>
    <col min="516" max="516" width="22.5703125" style="132" customWidth="1"/>
    <col min="517" max="517" width="14.28515625" style="132" bestFit="1" customWidth="1"/>
    <col min="518" max="518" width="13.42578125" style="132" bestFit="1" customWidth="1"/>
    <col min="519" max="519" width="15.28515625" style="132" bestFit="1" customWidth="1"/>
    <col min="520" max="768" width="12.5703125" style="132"/>
    <col min="769" max="770" width="12.5703125" style="132" customWidth="1"/>
    <col min="771" max="771" width="22.42578125" style="132" customWidth="1"/>
    <col min="772" max="772" width="22.5703125" style="132" customWidth="1"/>
    <col min="773" max="773" width="14.28515625" style="132" bestFit="1" customWidth="1"/>
    <col min="774" max="774" width="13.42578125" style="132" bestFit="1" customWidth="1"/>
    <col min="775" max="775" width="15.28515625" style="132" bestFit="1" customWidth="1"/>
    <col min="776" max="1024" width="12.5703125" style="132"/>
    <col min="1025" max="1026" width="12.5703125" style="132" customWidth="1"/>
    <col min="1027" max="1027" width="22.42578125" style="132" customWidth="1"/>
    <col min="1028" max="1028" width="22.5703125" style="132" customWidth="1"/>
    <col min="1029" max="1029" width="14.28515625" style="132" bestFit="1" customWidth="1"/>
    <col min="1030" max="1030" width="13.42578125" style="132" bestFit="1" customWidth="1"/>
    <col min="1031" max="1031" width="15.28515625" style="132" bestFit="1" customWidth="1"/>
    <col min="1032" max="1280" width="12.5703125" style="132"/>
    <col min="1281" max="1282" width="12.5703125" style="132" customWidth="1"/>
    <col min="1283" max="1283" width="22.42578125" style="132" customWidth="1"/>
    <col min="1284" max="1284" width="22.5703125" style="132" customWidth="1"/>
    <col min="1285" max="1285" width="14.28515625" style="132" bestFit="1" customWidth="1"/>
    <col min="1286" max="1286" width="13.42578125" style="132" bestFit="1" customWidth="1"/>
    <col min="1287" max="1287" width="15.28515625" style="132" bestFit="1" customWidth="1"/>
    <col min="1288" max="1536" width="12.5703125" style="132"/>
    <col min="1537" max="1538" width="12.5703125" style="132" customWidth="1"/>
    <col min="1539" max="1539" width="22.42578125" style="132" customWidth="1"/>
    <col min="1540" max="1540" width="22.5703125" style="132" customWidth="1"/>
    <col min="1541" max="1541" width="14.28515625" style="132" bestFit="1" customWidth="1"/>
    <col min="1542" max="1542" width="13.42578125" style="132" bestFit="1" customWidth="1"/>
    <col min="1543" max="1543" width="15.28515625" style="132" bestFit="1" customWidth="1"/>
    <col min="1544" max="1792" width="12.5703125" style="132"/>
    <col min="1793" max="1794" width="12.5703125" style="132" customWidth="1"/>
    <col min="1795" max="1795" width="22.42578125" style="132" customWidth="1"/>
    <col min="1796" max="1796" width="22.5703125" style="132" customWidth="1"/>
    <col min="1797" max="1797" width="14.28515625" style="132" bestFit="1" customWidth="1"/>
    <col min="1798" max="1798" width="13.42578125" style="132" bestFit="1" customWidth="1"/>
    <col min="1799" max="1799" width="15.28515625" style="132" bestFit="1" customWidth="1"/>
    <col min="1800" max="2048" width="12.5703125" style="132"/>
    <col min="2049" max="2050" width="12.5703125" style="132" customWidth="1"/>
    <col min="2051" max="2051" width="22.42578125" style="132" customWidth="1"/>
    <col min="2052" max="2052" width="22.5703125" style="132" customWidth="1"/>
    <col min="2053" max="2053" width="14.28515625" style="132" bestFit="1" customWidth="1"/>
    <col min="2054" max="2054" width="13.42578125" style="132" bestFit="1" customWidth="1"/>
    <col min="2055" max="2055" width="15.28515625" style="132" bestFit="1" customWidth="1"/>
    <col min="2056" max="2304" width="12.5703125" style="132"/>
    <col min="2305" max="2306" width="12.5703125" style="132" customWidth="1"/>
    <col min="2307" max="2307" width="22.42578125" style="132" customWidth="1"/>
    <col min="2308" max="2308" width="22.5703125" style="132" customWidth="1"/>
    <col min="2309" max="2309" width="14.28515625" style="132" bestFit="1" customWidth="1"/>
    <col min="2310" max="2310" width="13.42578125" style="132" bestFit="1" customWidth="1"/>
    <col min="2311" max="2311" width="15.28515625" style="132" bestFit="1" customWidth="1"/>
    <col min="2312" max="2560" width="12.5703125" style="132"/>
    <col min="2561" max="2562" width="12.5703125" style="132" customWidth="1"/>
    <col min="2563" max="2563" width="22.42578125" style="132" customWidth="1"/>
    <col min="2564" max="2564" width="22.5703125" style="132" customWidth="1"/>
    <col min="2565" max="2565" width="14.28515625" style="132" bestFit="1" customWidth="1"/>
    <col min="2566" max="2566" width="13.42578125" style="132" bestFit="1" customWidth="1"/>
    <col min="2567" max="2567" width="15.28515625" style="132" bestFit="1" customWidth="1"/>
    <col min="2568" max="2816" width="12.5703125" style="132"/>
    <col min="2817" max="2818" width="12.5703125" style="132" customWidth="1"/>
    <col min="2819" max="2819" width="22.42578125" style="132" customWidth="1"/>
    <col min="2820" max="2820" width="22.5703125" style="132" customWidth="1"/>
    <col min="2821" max="2821" width="14.28515625" style="132" bestFit="1" customWidth="1"/>
    <col min="2822" max="2822" width="13.42578125" style="132" bestFit="1" customWidth="1"/>
    <col min="2823" max="2823" width="15.28515625" style="132" bestFit="1" customWidth="1"/>
    <col min="2824" max="3072" width="12.5703125" style="132"/>
    <col min="3073" max="3074" width="12.5703125" style="132" customWidth="1"/>
    <col min="3075" max="3075" width="22.42578125" style="132" customWidth="1"/>
    <col min="3076" max="3076" width="22.5703125" style="132" customWidth="1"/>
    <col min="3077" max="3077" width="14.28515625" style="132" bestFit="1" customWidth="1"/>
    <col min="3078" max="3078" width="13.42578125" style="132" bestFit="1" customWidth="1"/>
    <col min="3079" max="3079" width="15.28515625" style="132" bestFit="1" customWidth="1"/>
    <col min="3080" max="3328" width="12.5703125" style="132"/>
    <col min="3329" max="3330" width="12.5703125" style="132" customWidth="1"/>
    <col min="3331" max="3331" width="22.42578125" style="132" customWidth="1"/>
    <col min="3332" max="3332" width="22.5703125" style="132" customWidth="1"/>
    <col min="3333" max="3333" width="14.28515625" style="132" bestFit="1" customWidth="1"/>
    <col min="3334" max="3334" width="13.42578125" style="132" bestFit="1" customWidth="1"/>
    <col min="3335" max="3335" width="15.28515625" style="132" bestFit="1" customWidth="1"/>
    <col min="3336" max="3584" width="12.5703125" style="132"/>
    <col min="3585" max="3586" width="12.5703125" style="132" customWidth="1"/>
    <col min="3587" max="3587" width="22.42578125" style="132" customWidth="1"/>
    <col min="3588" max="3588" width="22.5703125" style="132" customWidth="1"/>
    <col min="3589" max="3589" width="14.28515625" style="132" bestFit="1" customWidth="1"/>
    <col min="3590" max="3590" width="13.42578125" style="132" bestFit="1" customWidth="1"/>
    <col min="3591" max="3591" width="15.28515625" style="132" bestFit="1" customWidth="1"/>
    <col min="3592" max="3840" width="12.5703125" style="132"/>
    <col min="3841" max="3842" width="12.5703125" style="132" customWidth="1"/>
    <col min="3843" max="3843" width="22.42578125" style="132" customWidth="1"/>
    <col min="3844" max="3844" width="22.5703125" style="132" customWidth="1"/>
    <col min="3845" max="3845" width="14.28515625" style="132" bestFit="1" customWidth="1"/>
    <col min="3846" max="3846" width="13.42578125" style="132" bestFit="1" customWidth="1"/>
    <col min="3847" max="3847" width="15.28515625" style="132" bestFit="1" customWidth="1"/>
    <col min="3848" max="4096" width="12.5703125" style="132"/>
    <col min="4097" max="4098" width="12.5703125" style="132" customWidth="1"/>
    <col min="4099" max="4099" width="22.42578125" style="132" customWidth="1"/>
    <col min="4100" max="4100" width="22.5703125" style="132" customWidth="1"/>
    <col min="4101" max="4101" width="14.28515625" style="132" bestFit="1" customWidth="1"/>
    <col min="4102" max="4102" width="13.42578125" style="132" bestFit="1" customWidth="1"/>
    <col min="4103" max="4103" width="15.28515625" style="132" bestFit="1" customWidth="1"/>
    <col min="4104" max="4352" width="12.5703125" style="132"/>
    <col min="4353" max="4354" width="12.5703125" style="132" customWidth="1"/>
    <col min="4355" max="4355" width="22.42578125" style="132" customWidth="1"/>
    <col min="4356" max="4356" width="22.5703125" style="132" customWidth="1"/>
    <col min="4357" max="4357" width="14.28515625" style="132" bestFit="1" customWidth="1"/>
    <col min="4358" max="4358" width="13.42578125" style="132" bestFit="1" customWidth="1"/>
    <col min="4359" max="4359" width="15.28515625" style="132" bestFit="1" customWidth="1"/>
    <col min="4360" max="4608" width="12.5703125" style="132"/>
    <col min="4609" max="4610" width="12.5703125" style="132" customWidth="1"/>
    <col min="4611" max="4611" width="22.42578125" style="132" customWidth="1"/>
    <col min="4612" max="4612" width="22.5703125" style="132" customWidth="1"/>
    <col min="4613" max="4613" width="14.28515625" style="132" bestFit="1" customWidth="1"/>
    <col min="4614" max="4614" width="13.42578125" style="132" bestFit="1" customWidth="1"/>
    <col min="4615" max="4615" width="15.28515625" style="132" bestFit="1" customWidth="1"/>
    <col min="4616" max="4864" width="12.5703125" style="132"/>
    <col min="4865" max="4866" width="12.5703125" style="132" customWidth="1"/>
    <col min="4867" max="4867" width="22.42578125" style="132" customWidth="1"/>
    <col min="4868" max="4868" width="22.5703125" style="132" customWidth="1"/>
    <col min="4869" max="4869" width="14.28515625" style="132" bestFit="1" customWidth="1"/>
    <col min="4870" max="4870" width="13.42578125" style="132" bestFit="1" customWidth="1"/>
    <col min="4871" max="4871" width="15.28515625" style="132" bestFit="1" customWidth="1"/>
    <col min="4872" max="5120" width="12.5703125" style="132"/>
    <col min="5121" max="5122" width="12.5703125" style="132" customWidth="1"/>
    <col min="5123" max="5123" width="22.42578125" style="132" customWidth="1"/>
    <col min="5124" max="5124" width="22.5703125" style="132" customWidth="1"/>
    <col min="5125" max="5125" width="14.28515625" style="132" bestFit="1" customWidth="1"/>
    <col min="5126" max="5126" width="13.42578125" style="132" bestFit="1" customWidth="1"/>
    <col min="5127" max="5127" width="15.28515625" style="132" bestFit="1" customWidth="1"/>
    <col min="5128" max="5376" width="12.5703125" style="132"/>
    <col min="5377" max="5378" width="12.5703125" style="132" customWidth="1"/>
    <col min="5379" max="5379" width="22.42578125" style="132" customWidth="1"/>
    <col min="5380" max="5380" width="22.5703125" style="132" customWidth="1"/>
    <col min="5381" max="5381" width="14.28515625" style="132" bestFit="1" customWidth="1"/>
    <col min="5382" max="5382" width="13.42578125" style="132" bestFit="1" customWidth="1"/>
    <col min="5383" max="5383" width="15.28515625" style="132" bestFit="1" customWidth="1"/>
    <col min="5384" max="5632" width="12.5703125" style="132"/>
    <col min="5633" max="5634" width="12.5703125" style="132" customWidth="1"/>
    <col min="5635" max="5635" width="22.42578125" style="132" customWidth="1"/>
    <col min="5636" max="5636" width="22.5703125" style="132" customWidth="1"/>
    <col min="5637" max="5637" width="14.28515625" style="132" bestFit="1" customWidth="1"/>
    <col min="5638" max="5638" width="13.42578125" style="132" bestFit="1" customWidth="1"/>
    <col min="5639" max="5639" width="15.28515625" style="132" bestFit="1" customWidth="1"/>
    <col min="5640" max="5888" width="12.5703125" style="132"/>
    <col min="5889" max="5890" width="12.5703125" style="132" customWidth="1"/>
    <col min="5891" max="5891" width="22.42578125" style="132" customWidth="1"/>
    <col min="5892" max="5892" width="22.5703125" style="132" customWidth="1"/>
    <col min="5893" max="5893" width="14.28515625" style="132" bestFit="1" customWidth="1"/>
    <col min="5894" max="5894" width="13.42578125" style="132" bestFit="1" customWidth="1"/>
    <col min="5895" max="5895" width="15.28515625" style="132" bestFit="1" customWidth="1"/>
    <col min="5896" max="6144" width="12.5703125" style="132"/>
    <col min="6145" max="6146" width="12.5703125" style="132" customWidth="1"/>
    <col min="6147" max="6147" width="22.42578125" style="132" customWidth="1"/>
    <col min="6148" max="6148" width="22.5703125" style="132" customWidth="1"/>
    <col min="6149" max="6149" width="14.28515625" style="132" bestFit="1" customWidth="1"/>
    <col min="6150" max="6150" width="13.42578125" style="132" bestFit="1" customWidth="1"/>
    <col min="6151" max="6151" width="15.28515625" style="132" bestFit="1" customWidth="1"/>
    <col min="6152" max="6400" width="12.5703125" style="132"/>
    <col min="6401" max="6402" width="12.5703125" style="132" customWidth="1"/>
    <col min="6403" max="6403" width="22.42578125" style="132" customWidth="1"/>
    <col min="6404" max="6404" width="22.5703125" style="132" customWidth="1"/>
    <col min="6405" max="6405" width="14.28515625" style="132" bestFit="1" customWidth="1"/>
    <col min="6406" max="6406" width="13.42578125" style="132" bestFit="1" customWidth="1"/>
    <col min="6407" max="6407" width="15.28515625" style="132" bestFit="1" customWidth="1"/>
    <col min="6408" max="6656" width="12.5703125" style="132"/>
    <col min="6657" max="6658" width="12.5703125" style="132" customWidth="1"/>
    <col min="6659" max="6659" width="22.42578125" style="132" customWidth="1"/>
    <col min="6660" max="6660" width="22.5703125" style="132" customWidth="1"/>
    <col min="6661" max="6661" width="14.28515625" style="132" bestFit="1" customWidth="1"/>
    <col min="6662" max="6662" width="13.42578125" style="132" bestFit="1" customWidth="1"/>
    <col min="6663" max="6663" width="15.28515625" style="132" bestFit="1" customWidth="1"/>
    <col min="6664" max="6912" width="12.5703125" style="132"/>
    <col min="6913" max="6914" width="12.5703125" style="132" customWidth="1"/>
    <col min="6915" max="6915" width="22.42578125" style="132" customWidth="1"/>
    <col min="6916" max="6916" width="22.5703125" style="132" customWidth="1"/>
    <col min="6917" max="6917" width="14.28515625" style="132" bestFit="1" customWidth="1"/>
    <col min="6918" max="6918" width="13.42578125" style="132" bestFit="1" customWidth="1"/>
    <col min="6919" max="6919" width="15.28515625" style="132" bestFit="1" customWidth="1"/>
    <col min="6920" max="7168" width="12.5703125" style="132"/>
    <col min="7169" max="7170" width="12.5703125" style="132" customWidth="1"/>
    <col min="7171" max="7171" width="22.42578125" style="132" customWidth="1"/>
    <col min="7172" max="7172" width="22.5703125" style="132" customWidth="1"/>
    <col min="7173" max="7173" width="14.28515625" style="132" bestFit="1" customWidth="1"/>
    <col min="7174" max="7174" width="13.42578125" style="132" bestFit="1" customWidth="1"/>
    <col min="7175" max="7175" width="15.28515625" style="132" bestFit="1" customWidth="1"/>
    <col min="7176" max="7424" width="12.5703125" style="132"/>
    <col min="7425" max="7426" width="12.5703125" style="132" customWidth="1"/>
    <col min="7427" max="7427" width="22.42578125" style="132" customWidth="1"/>
    <col min="7428" max="7428" width="22.5703125" style="132" customWidth="1"/>
    <col min="7429" max="7429" width="14.28515625" style="132" bestFit="1" customWidth="1"/>
    <col min="7430" max="7430" width="13.42578125" style="132" bestFit="1" customWidth="1"/>
    <col min="7431" max="7431" width="15.28515625" style="132" bestFit="1" customWidth="1"/>
    <col min="7432" max="7680" width="12.5703125" style="132"/>
    <col min="7681" max="7682" width="12.5703125" style="132" customWidth="1"/>
    <col min="7683" max="7683" width="22.42578125" style="132" customWidth="1"/>
    <col min="7684" max="7684" width="22.5703125" style="132" customWidth="1"/>
    <col min="7685" max="7685" width="14.28515625" style="132" bestFit="1" customWidth="1"/>
    <col min="7686" max="7686" width="13.42578125" style="132" bestFit="1" customWidth="1"/>
    <col min="7687" max="7687" width="15.28515625" style="132" bestFit="1" customWidth="1"/>
    <col min="7688" max="7936" width="12.5703125" style="132"/>
    <col min="7937" max="7938" width="12.5703125" style="132" customWidth="1"/>
    <col min="7939" max="7939" width="22.42578125" style="132" customWidth="1"/>
    <col min="7940" max="7940" width="22.5703125" style="132" customWidth="1"/>
    <col min="7941" max="7941" width="14.28515625" style="132" bestFit="1" customWidth="1"/>
    <col min="7942" max="7942" width="13.42578125" style="132" bestFit="1" customWidth="1"/>
    <col min="7943" max="7943" width="15.28515625" style="132" bestFit="1" customWidth="1"/>
    <col min="7944" max="8192" width="12.5703125" style="132"/>
    <col min="8193" max="8194" width="12.5703125" style="132" customWidth="1"/>
    <col min="8195" max="8195" width="22.42578125" style="132" customWidth="1"/>
    <col min="8196" max="8196" width="22.5703125" style="132" customWidth="1"/>
    <col min="8197" max="8197" width="14.28515625" style="132" bestFit="1" customWidth="1"/>
    <col min="8198" max="8198" width="13.42578125" style="132" bestFit="1" customWidth="1"/>
    <col min="8199" max="8199" width="15.28515625" style="132" bestFit="1" customWidth="1"/>
    <col min="8200" max="8448" width="12.5703125" style="132"/>
    <col min="8449" max="8450" width="12.5703125" style="132" customWidth="1"/>
    <col min="8451" max="8451" width="22.42578125" style="132" customWidth="1"/>
    <col min="8452" max="8452" width="22.5703125" style="132" customWidth="1"/>
    <col min="8453" max="8453" width="14.28515625" style="132" bestFit="1" customWidth="1"/>
    <col min="8454" max="8454" width="13.42578125" style="132" bestFit="1" customWidth="1"/>
    <col min="8455" max="8455" width="15.28515625" style="132" bestFit="1" customWidth="1"/>
    <col min="8456" max="8704" width="12.5703125" style="132"/>
    <col min="8705" max="8706" width="12.5703125" style="132" customWidth="1"/>
    <col min="8707" max="8707" width="22.42578125" style="132" customWidth="1"/>
    <col min="8708" max="8708" width="22.5703125" style="132" customWidth="1"/>
    <col min="8709" max="8709" width="14.28515625" style="132" bestFit="1" customWidth="1"/>
    <col min="8710" max="8710" width="13.42578125" style="132" bestFit="1" customWidth="1"/>
    <col min="8711" max="8711" width="15.28515625" style="132" bestFit="1" customWidth="1"/>
    <col min="8712" max="8960" width="12.5703125" style="132"/>
    <col min="8961" max="8962" width="12.5703125" style="132" customWidth="1"/>
    <col min="8963" max="8963" width="22.42578125" style="132" customWidth="1"/>
    <col min="8964" max="8964" width="22.5703125" style="132" customWidth="1"/>
    <col min="8965" max="8965" width="14.28515625" style="132" bestFit="1" customWidth="1"/>
    <col min="8966" max="8966" width="13.42578125" style="132" bestFit="1" customWidth="1"/>
    <col min="8967" max="8967" width="15.28515625" style="132" bestFit="1" customWidth="1"/>
    <col min="8968" max="9216" width="12.5703125" style="132"/>
    <col min="9217" max="9218" width="12.5703125" style="132" customWidth="1"/>
    <col min="9219" max="9219" width="22.42578125" style="132" customWidth="1"/>
    <col min="9220" max="9220" width="22.5703125" style="132" customWidth="1"/>
    <col min="9221" max="9221" width="14.28515625" style="132" bestFit="1" customWidth="1"/>
    <col min="9222" max="9222" width="13.42578125" style="132" bestFit="1" customWidth="1"/>
    <col min="9223" max="9223" width="15.28515625" style="132" bestFit="1" customWidth="1"/>
    <col min="9224" max="9472" width="12.5703125" style="132"/>
    <col min="9473" max="9474" width="12.5703125" style="132" customWidth="1"/>
    <col min="9475" max="9475" width="22.42578125" style="132" customWidth="1"/>
    <col min="9476" max="9476" width="22.5703125" style="132" customWidth="1"/>
    <col min="9477" max="9477" width="14.28515625" style="132" bestFit="1" customWidth="1"/>
    <col min="9478" max="9478" width="13.42578125" style="132" bestFit="1" customWidth="1"/>
    <col min="9479" max="9479" width="15.28515625" style="132" bestFit="1" customWidth="1"/>
    <col min="9480" max="9728" width="12.5703125" style="132"/>
    <col min="9729" max="9730" width="12.5703125" style="132" customWidth="1"/>
    <col min="9731" max="9731" width="22.42578125" style="132" customWidth="1"/>
    <col min="9732" max="9732" width="22.5703125" style="132" customWidth="1"/>
    <col min="9733" max="9733" width="14.28515625" style="132" bestFit="1" customWidth="1"/>
    <col min="9734" max="9734" width="13.42578125" style="132" bestFit="1" customWidth="1"/>
    <col min="9735" max="9735" width="15.28515625" style="132" bestFit="1" customWidth="1"/>
    <col min="9736" max="9984" width="12.5703125" style="132"/>
    <col min="9985" max="9986" width="12.5703125" style="132" customWidth="1"/>
    <col min="9987" max="9987" width="22.42578125" style="132" customWidth="1"/>
    <col min="9988" max="9988" width="22.5703125" style="132" customWidth="1"/>
    <col min="9989" max="9989" width="14.28515625" style="132" bestFit="1" customWidth="1"/>
    <col min="9990" max="9990" width="13.42578125" style="132" bestFit="1" customWidth="1"/>
    <col min="9991" max="9991" width="15.28515625" style="132" bestFit="1" customWidth="1"/>
    <col min="9992" max="10240" width="12.5703125" style="132"/>
    <col min="10241" max="10242" width="12.5703125" style="132" customWidth="1"/>
    <col min="10243" max="10243" width="22.42578125" style="132" customWidth="1"/>
    <col min="10244" max="10244" width="22.5703125" style="132" customWidth="1"/>
    <col min="10245" max="10245" width="14.28515625" style="132" bestFit="1" customWidth="1"/>
    <col min="10246" max="10246" width="13.42578125" style="132" bestFit="1" customWidth="1"/>
    <col min="10247" max="10247" width="15.28515625" style="132" bestFit="1" customWidth="1"/>
    <col min="10248" max="10496" width="12.5703125" style="132"/>
    <col min="10497" max="10498" width="12.5703125" style="132" customWidth="1"/>
    <col min="10499" max="10499" width="22.42578125" style="132" customWidth="1"/>
    <col min="10500" max="10500" width="22.5703125" style="132" customWidth="1"/>
    <col min="10501" max="10501" width="14.28515625" style="132" bestFit="1" customWidth="1"/>
    <col min="10502" max="10502" width="13.42578125" style="132" bestFit="1" customWidth="1"/>
    <col min="10503" max="10503" width="15.28515625" style="132" bestFit="1" customWidth="1"/>
    <col min="10504" max="10752" width="12.5703125" style="132"/>
    <col min="10753" max="10754" width="12.5703125" style="132" customWidth="1"/>
    <col min="10755" max="10755" width="22.42578125" style="132" customWidth="1"/>
    <col min="10756" max="10756" width="22.5703125" style="132" customWidth="1"/>
    <col min="10757" max="10757" width="14.28515625" style="132" bestFit="1" customWidth="1"/>
    <col min="10758" max="10758" width="13.42578125" style="132" bestFit="1" customWidth="1"/>
    <col min="10759" max="10759" width="15.28515625" style="132" bestFit="1" customWidth="1"/>
    <col min="10760" max="11008" width="12.5703125" style="132"/>
    <col min="11009" max="11010" width="12.5703125" style="132" customWidth="1"/>
    <col min="11011" max="11011" width="22.42578125" style="132" customWidth="1"/>
    <col min="11012" max="11012" width="22.5703125" style="132" customWidth="1"/>
    <col min="11013" max="11013" width="14.28515625" style="132" bestFit="1" customWidth="1"/>
    <col min="11014" max="11014" width="13.42578125" style="132" bestFit="1" customWidth="1"/>
    <col min="11015" max="11015" width="15.28515625" style="132" bestFit="1" customWidth="1"/>
    <col min="11016" max="11264" width="12.5703125" style="132"/>
    <col min="11265" max="11266" width="12.5703125" style="132" customWidth="1"/>
    <col min="11267" max="11267" width="22.42578125" style="132" customWidth="1"/>
    <col min="11268" max="11268" width="22.5703125" style="132" customWidth="1"/>
    <col min="11269" max="11269" width="14.28515625" style="132" bestFit="1" customWidth="1"/>
    <col min="11270" max="11270" width="13.42578125" style="132" bestFit="1" customWidth="1"/>
    <col min="11271" max="11271" width="15.28515625" style="132" bestFit="1" customWidth="1"/>
    <col min="11272" max="11520" width="12.5703125" style="132"/>
    <col min="11521" max="11522" width="12.5703125" style="132" customWidth="1"/>
    <col min="11523" max="11523" width="22.42578125" style="132" customWidth="1"/>
    <col min="11524" max="11524" width="22.5703125" style="132" customWidth="1"/>
    <col min="11525" max="11525" width="14.28515625" style="132" bestFit="1" customWidth="1"/>
    <col min="11526" max="11526" width="13.42578125" style="132" bestFit="1" customWidth="1"/>
    <col min="11527" max="11527" width="15.28515625" style="132" bestFit="1" customWidth="1"/>
    <col min="11528" max="11776" width="12.5703125" style="132"/>
    <col min="11777" max="11778" width="12.5703125" style="132" customWidth="1"/>
    <col min="11779" max="11779" width="22.42578125" style="132" customWidth="1"/>
    <col min="11780" max="11780" width="22.5703125" style="132" customWidth="1"/>
    <col min="11781" max="11781" width="14.28515625" style="132" bestFit="1" customWidth="1"/>
    <col min="11782" max="11782" width="13.42578125" style="132" bestFit="1" customWidth="1"/>
    <col min="11783" max="11783" width="15.28515625" style="132" bestFit="1" customWidth="1"/>
    <col min="11784" max="12032" width="12.5703125" style="132"/>
    <col min="12033" max="12034" width="12.5703125" style="132" customWidth="1"/>
    <col min="12035" max="12035" width="22.42578125" style="132" customWidth="1"/>
    <col min="12036" max="12036" width="22.5703125" style="132" customWidth="1"/>
    <col min="12037" max="12037" width="14.28515625" style="132" bestFit="1" customWidth="1"/>
    <col min="12038" max="12038" width="13.42578125" style="132" bestFit="1" customWidth="1"/>
    <col min="12039" max="12039" width="15.28515625" style="132" bestFit="1" customWidth="1"/>
    <col min="12040" max="12288" width="12.5703125" style="132"/>
    <col min="12289" max="12290" width="12.5703125" style="132" customWidth="1"/>
    <col min="12291" max="12291" width="22.42578125" style="132" customWidth="1"/>
    <col min="12292" max="12292" width="22.5703125" style="132" customWidth="1"/>
    <col min="12293" max="12293" width="14.28515625" style="132" bestFit="1" customWidth="1"/>
    <col min="12294" max="12294" width="13.42578125" style="132" bestFit="1" customWidth="1"/>
    <col min="12295" max="12295" width="15.28515625" style="132" bestFit="1" customWidth="1"/>
    <col min="12296" max="12544" width="12.5703125" style="132"/>
    <col min="12545" max="12546" width="12.5703125" style="132" customWidth="1"/>
    <col min="12547" max="12547" width="22.42578125" style="132" customWidth="1"/>
    <col min="12548" max="12548" width="22.5703125" style="132" customWidth="1"/>
    <col min="12549" max="12549" width="14.28515625" style="132" bestFit="1" customWidth="1"/>
    <col min="12550" max="12550" width="13.42578125" style="132" bestFit="1" customWidth="1"/>
    <col min="12551" max="12551" width="15.28515625" style="132" bestFit="1" customWidth="1"/>
    <col min="12552" max="12800" width="12.5703125" style="132"/>
    <col min="12801" max="12802" width="12.5703125" style="132" customWidth="1"/>
    <col min="12803" max="12803" width="22.42578125" style="132" customWidth="1"/>
    <col min="12804" max="12804" width="22.5703125" style="132" customWidth="1"/>
    <col min="12805" max="12805" width="14.28515625" style="132" bestFit="1" customWidth="1"/>
    <col min="12806" max="12806" width="13.42578125" style="132" bestFit="1" customWidth="1"/>
    <col min="12807" max="12807" width="15.28515625" style="132" bestFit="1" customWidth="1"/>
    <col min="12808" max="13056" width="12.5703125" style="132"/>
    <col min="13057" max="13058" width="12.5703125" style="132" customWidth="1"/>
    <col min="13059" max="13059" width="22.42578125" style="132" customWidth="1"/>
    <col min="13060" max="13060" width="22.5703125" style="132" customWidth="1"/>
    <col min="13061" max="13061" width="14.28515625" style="132" bestFit="1" customWidth="1"/>
    <col min="13062" max="13062" width="13.42578125" style="132" bestFit="1" customWidth="1"/>
    <col min="13063" max="13063" width="15.28515625" style="132" bestFit="1" customWidth="1"/>
    <col min="13064" max="13312" width="12.5703125" style="132"/>
    <col min="13313" max="13314" width="12.5703125" style="132" customWidth="1"/>
    <col min="13315" max="13315" width="22.42578125" style="132" customWidth="1"/>
    <col min="13316" max="13316" width="22.5703125" style="132" customWidth="1"/>
    <col min="13317" max="13317" width="14.28515625" style="132" bestFit="1" customWidth="1"/>
    <col min="13318" max="13318" width="13.42578125" style="132" bestFit="1" customWidth="1"/>
    <col min="13319" max="13319" width="15.28515625" style="132" bestFit="1" customWidth="1"/>
    <col min="13320" max="13568" width="12.5703125" style="132"/>
    <col min="13569" max="13570" width="12.5703125" style="132" customWidth="1"/>
    <col min="13571" max="13571" width="22.42578125" style="132" customWidth="1"/>
    <col min="13572" max="13572" width="22.5703125" style="132" customWidth="1"/>
    <col min="13573" max="13573" width="14.28515625" style="132" bestFit="1" customWidth="1"/>
    <col min="13574" max="13574" width="13.42578125" style="132" bestFit="1" customWidth="1"/>
    <col min="13575" max="13575" width="15.28515625" style="132" bestFit="1" customWidth="1"/>
    <col min="13576" max="13824" width="12.5703125" style="132"/>
    <col min="13825" max="13826" width="12.5703125" style="132" customWidth="1"/>
    <col min="13827" max="13827" width="22.42578125" style="132" customWidth="1"/>
    <col min="13828" max="13828" width="22.5703125" style="132" customWidth="1"/>
    <col min="13829" max="13829" width="14.28515625" style="132" bestFit="1" customWidth="1"/>
    <col min="13830" max="13830" width="13.42578125" style="132" bestFit="1" customWidth="1"/>
    <col min="13831" max="13831" width="15.28515625" style="132" bestFit="1" customWidth="1"/>
    <col min="13832" max="14080" width="12.5703125" style="132"/>
    <col min="14081" max="14082" width="12.5703125" style="132" customWidth="1"/>
    <col min="14083" max="14083" width="22.42578125" style="132" customWidth="1"/>
    <col min="14084" max="14084" width="22.5703125" style="132" customWidth="1"/>
    <col min="14085" max="14085" width="14.28515625" style="132" bestFit="1" customWidth="1"/>
    <col min="14086" max="14086" width="13.42578125" style="132" bestFit="1" customWidth="1"/>
    <col min="14087" max="14087" width="15.28515625" style="132" bestFit="1" customWidth="1"/>
    <col min="14088" max="14336" width="12.5703125" style="132"/>
    <col min="14337" max="14338" width="12.5703125" style="132" customWidth="1"/>
    <col min="14339" max="14339" width="22.42578125" style="132" customWidth="1"/>
    <col min="14340" max="14340" width="22.5703125" style="132" customWidth="1"/>
    <col min="14341" max="14341" width="14.28515625" style="132" bestFit="1" customWidth="1"/>
    <col min="14342" max="14342" width="13.42578125" style="132" bestFit="1" customWidth="1"/>
    <col min="14343" max="14343" width="15.28515625" style="132" bestFit="1" customWidth="1"/>
    <col min="14344" max="14592" width="12.5703125" style="132"/>
    <col min="14593" max="14594" width="12.5703125" style="132" customWidth="1"/>
    <col min="14595" max="14595" width="22.42578125" style="132" customWidth="1"/>
    <col min="14596" max="14596" width="22.5703125" style="132" customWidth="1"/>
    <col min="14597" max="14597" width="14.28515625" style="132" bestFit="1" customWidth="1"/>
    <col min="14598" max="14598" width="13.42578125" style="132" bestFit="1" customWidth="1"/>
    <col min="14599" max="14599" width="15.28515625" style="132" bestFit="1" customWidth="1"/>
    <col min="14600" max="14848" width="12.5703125" style="132"/>
    <col min="14849" max="14850" width="12.5703125" style="132" customWidth="1"/>
    <col min="14851" max="14851" width="22.42578125" style="132" customWidth="1"/>
    <col min="14852" max="14852" width="22.5703125" style="132" customWidth="1"/>
    <col min="14853" max="14853" width="14.28515625" style="132" bestFit="1" customWidth="1"/>
    <col min="14854" max="14854" width="13.42578125" style="132" bestFit="1" customWidth="1"/>
    <col min="14855" max="14855" width="15.28515625" style="132" bestFit="1" customWidth="1"/>
    <col min="14856" max="15104" width="12.5703125" style="132"/>
    <col min="15105" max="15106" width="12.5703125" style="132" customWidth="1"/>
    <col min="15107" max="15107" width="22.42578125" style="132" customWidth="1"/>
    <col min="15108" max="15108" width="22.5703125" style="132" customWidth="1"/>
    <col min="15109" max="15109" width="14.28515625" style="132" bestFit="1" customWidth="1"/>
    <col min="15110" max="15110" width="13.42578125" style="132" bestFit="1" customWidth="1"/>
    <col min="15111" max="15111" width="15.28515625" style="132" bestFit="1" customWidth="1"/>
    <col min="15112" max="15360" width="12.5703125" style="132"/>
    <col min="15361" max="15362" width="12.5703125" style="132" customWidth="1"/>
    <col min="15363" max="15363" width="22.42578125" style="132" customWidth="1"/>
    <col min="15364" max="15364" width="22.5703125" style="132" customWidth="1"/>
    <col min="15365" max="15365" width="14.28515625" style="132" bestFit="1" customWidth="1"/>
    <col min="15366" max="15366" width="13.42578125" style="132" bestFit="1" customWidth="1"/>
    <col min="15367" max="15367" width="15.28515625" style="132" bestFit="1" customWidth="1"/>
    <col min="15368" max="15616" width="12.5703125" style="132"/>
    <col min="15617" max="15618" width="12.5703125" style="132" customWidth="1"/>
    <col min="15619" max="15619" width="22.42578125" style="132" customWidth="1"/>
    <col min="15620" max="15620" width="22.5703125" style="132" customWidth="1"/>
    <col min="15621" max="15621" width="14.28515625" style="132" bestFit="1" customWidth="1"/>
    <col min="15622" max="15622" width="13.42578125" style="132" bestFit="1" customWidth="1"/>
    <col min="15623" max="15623" width="15.28515625" style="132" bestFit="1" customWidth="1"/>
    <col min="15624" max="15872" width="12.5703125" style="132"/>
    <col min="15873" max="15874" width="12.5703125" style="132" customWidth="1"/>
    <col min="15875" max="15875" width="22.42578125" style="132" customWidth="1"/>
    <col min="15876" max="15876" width="22.5703125" style="132" customWidth="1"/>
    <col min="15877" max="15877" width="14.28515625" style="132" bestFit="1" customWidth="1"/>
    <col min="15878" max="15878" width="13.42578125" style="132" bestFit="1" customWidth="1"/>
    <col min="15879" max="15879" width="15.28515625" style="132" bestFit="1" customWidth="1"/>
    <col min="15880" max="16128" width="12.5703125" style="132"/>
    <col min="16129" max="16130" width="12.5703125" style="132" customWidth="1"/>
    <col min="16131" max="16131" width="22.42578125" style="132" customWidth="1"/>
    <col min="16132" max="16132" width="22.5703125" style="132" customWidth="1"/>
    <col min="16133" max="16133" width="14.28515625" style="132" bestFit="1" customWidth="1"/>
    <col min="16134" max="16134" width="13.42578125" style="132" bestFit="1" customWidth="1"/>
    <col min="16135" max="16135" width="15.28515625" style="132" bestFit="1" customWidth="1"/>
    <col min="16136" max="16384" width="12.5703125" style="132"/>
  </cols>
  <sheetData>
    <row r="1" spans="1:9">
      <c r="A1" s="131" t="s">
        <v>199</v>
      </c>
      <c r="C1" s="133"/>
      <c r="D1" s="134"/>
    </row>
    <row r="2" spans="1:9">
      <c r="D2" s="134"/>
    </row>
    <row r="3" spans="1:9">
      <c r="B3" s="131"/>
      <c r="C3" s="131"/>
      <c r="D3" s="135"/>
      <c r="E3" s="136"/>
      <c r="F3" s="136"/>
      <c r="G3" s="136"/>
      <c r="H3" s="136"/>
      <c r="I3" s="136"/>
    </row>
    <row r="4" spans="1:9">
      <c r="B4" s="131"/>
      <c r="C4" s="131"/>
      <c r="D4" s="135"/>
      <c r="E4" s="136"/>
      <c r="F4" s="136"/>
      <c r="G4" s="136"/>
      <c r="H4" s="136"/>
      <c r="I4" s="136"/>
    </row>
    <row r="5" spans="1:9" outlineLevel="1">
      <c r="B5" s="136"/>
      <c r="C5" s="136" t="s">
        <v>200</v>
      </c>
      <c r="D5" s="137" t="s">
        <v>201</v>
      </c>
      <c r="E5" s="136"/>
      <c r="F5" s="136"/>
      <c r="G5" s="136"/>
      <c r="H5" s="136"/>
      <c r="I5" s="136"/>
    </row>
    <row r="6" spans="1:9" outlineLevel="1">
      <c r="B6" s="136"/>
      <c r="C6" s="136" t="s">
        <v>202</v>
      </c>
      <c r="D6" s="138">
        <v>100000000</v>
      </c>
      <c r="E6" s="136"/>
      <c r="F6" s="136"/>
      <c r="G6" s="136"/>
      <c r="H6" s="136"/>
      <c r="I6" s="136"/>
    </row>
    <row r="7" spans="1:9" outlineLevel="1">
      <c r="B7" s="136"/>
      <c r="C7" s="136" t="s">
        <v>203</v>
      </c>
      <c r="D7" s="138">
        <v>36</v>
      </c>
      <c r="E7" s="136"/>
      <c r="F7" s="138"/>
      <c r="G7" s="138"/>
      <c r="H7" s="136"/>
      <c r="I7" s="136"/>
    </row>
    <row r="8" spans="1:9" outlineLevel="1">
      <c r="B8" s="136"/>
      <c r="C8" s="136" t="s">
        <v>204</v>
      </c>
      <c r="D8" s="138">
        <v>3500000</v>
      </c>
      <c r="E8" s="136"/>
      <c r="F8" s="138"/>
      <c r="G8" s="138"/>
      <c r="H8" s="136"/>
      <c r="I8" s="136"/>
    </row>
    <row r="9" spans="1:9" outlineLevel="1">
      <c r="B9" s="136"/>
      <c r="C9" s="136" t="s">
        <v>205</v>
      </c>
      <c r="D9" s="139">
        <f>RATE(D7,D8,-D6)</f>
        <v>1.3067931305183814E-2</v>
      </c>
      <c r="E9" s="136"/>
      <c r="F9" s="136"/>
      <c r="G9" s="140"/>
      <c r="H9" s="136"/>
      <c r="I9" s="136"/>
    </row>
    <row r="10" spans="1:9">
      <c r="B10" s="136"/>
      <c r="C10" s="136"/>
      <c r="D10" s="138"/>
      <c r="E10" s="136"/>
      <c r="F10" s="136"/>
      <c r="G10" s="136"/>
      <c r="H10" s="136"/>
      <c r="I10" s="136"/>
    </row>
    <row r="11" spans="1:9">
      <c r="B11" s="131" t="s">
        <v>206</v>
      </c>
      <c r="C11" s="136"/>
      <c r="D11" s="138"/>
      <c r="E11" s="136"/>
      <c r="F11" s="136"/>
      <c r="G11" s="136"/>
      <c r="H11" s="136"/>
      <c r="I11" s="136"/>
    </row>
    <row r="12" spans="1:9">
      <c r="B12" s="136"/>
      <c r="C12" s="136"/>
      <c r="D12" s="138"/>
      <c r="E12" s="136"/>
      <c r="F12" s="136"/>
      <c r="G12" s="136"/>
      <c r="H12" s="136"/>
      <c r="I12" s="136"/>
    </row>
    <row r="13" spans="1:9" outlineLevel="1">
      <c r="B13" s="141" t="s">
        <v>207</v>
      </c>
      <c r="C13" s="141" t="s">
        <v>1</v>
      </c>
      <c r="D13" s="142" t="s">
        <v>208</v>
      </c>
      <c r="E13" s="141" t="s">
        <v>209</v>
      </c>
      <c r="F13" s="141" t="s">
        <v>210</v>
      </c>
      <c r="G13" s="136"/>
      <c r="H13" s="136"/>
      <c r="I13" s="136"/>
    </row>
    <row r="14" spans="1:9" outlineLevel="1">
      <c r="A14" s="274">
        <v>44986</v>
      </c>
      <c r="B14" s="275">
        <v>1</v>
      </c>
      <c r="C14" s="276">
        <f>+D6</f>
        <v>100000000</v>
      </c>
      <c r="D14" s="277">
        <f t="shared" ref="D14:D49" si="0">+C14*$D$9</f>
        <v>1306793.1305183813</v>
      </c>
      <c r="E14" s="276">
        <f t="shared" ref="E14:E49" si="1">+F14-D14</f>
        <v>2193206.8694816185</v>
      </c>
      <c r="F14" s="276">
        <f>+D8</f>
        <v>3500000</v>
      </c>
      <c r="G14" s="136"/>
      <c r="H14" s="136"/>
      <c r="I14" s="136"/>
    </row>
    <row r="15" spans="1:9" outlineLevel="1">
      <c r="A15" s="274">
        <v>45017</v>
      </c>
      <c r="B15" s="275">
        <v>2</v>
      </c>
      <c r="C15" s="276">
        <f t="shared" ref="C15:C49" si="2">+C14-E14</f>
        <v>97806793.130518377</v>
      </c>
      <c r="D15" s="277">
        <f t="shared" si="0"/>
        <v>1278132.4538099382</v>
      </c>
      <c r="E15" s="276">
        <f t="shared" si="1"/>
        <v>2221867.5461900616</v>
      </c>
      <c r="F15" s="276">
        <f t="shared" ref="F15:F49" si="3">+F14</f>
        <v>3500000</v>
      </c>
      <c r="G15" s="136"/>
      <c r="H15" s="136"/>
      <c r="I15" s="136"/>
    </row>
    <row r="16" spans="1:9" outlineLevel="1">
      <c r="A16" s="274">
        <v>45047</v>
      </c>
      <c r="B16" s="275">
        <v>3</v>
      </c>
      <c r="C16" s="276">
        <f t="shared" si="2"/>
        <v>95584925.584328309</v>
      </c>
      <c r="D16" s="277">
        <f t="shared" si="0"/>
        <v>1249097.2413471092</v>
      </c>
      <c r="E16" s="276">
        <f t="shared" si="1"/>
        <v>2250902.758652891</v>
      </c>
      <c r="F16" s="276">
        <f t="shared" si="3"/>
        <v>3500000</v>
      </c>
      <c r="G16" s="136"/>
      <c r="H16" s="136"/>
      <c r="I16" s="136"/>
    </row>
    <row r="17" spans="1:9" outlineLevel="1">
      <c r="A17" s="274">
        <v>45078</v>
      </c>
      <c r="B17" s="275">
        <v>4</v>
      </c>
      <c r="C17" s="276">
        <f t="shared" si="2"/>
        <v>93334022.825675413</v>
      </c>
      <c r="D17" s="277">
        <f t="shared" si="0"/>
        <v>1219682.5987223843</v>
      </c>
      <c r="E17" s="276">
        <f t="shared" si="1"/>
        <v>2280317.4012776157</v>
      </c>
      <c r="F17" s="276">
        <f t="shared" si="3"/>
        <v>3500000</v>
      </c>
      <c r="G17" s="136"/>
      <c r="H17" s="136"/>
      <c r="I17" s="136"/>
    </row>
    <row r="18" spans="1:9" outlineLevel="1">
      <c r="A18" s="274">
        <v>45108</v>
      </c>
      <c r="B18" s="275">
        <v>5</v>
      </c>
      <c r="C18" s="276">
        <f t="shared" si="2"/>
        <v>91053705.424397796</v>
      </c>
      <c r="D18" s="277">
        <f t="shared" si="0"/>
        <v>1189883.5675684733</v>
      </c>
      <c r="E18" s="276">
        <f t="shared" si="1"/>
        <v>2310116.4324315265</v>
      </c>
      <c r="F18" s="276">
        <f t="shared" si="3"/>
        <v>3500000</v>
      </c>
      <c r="G18" s="136"/>
      <c r="H18" s="136"/>
      <c r="I18" s="136"/>
    </row>
    <row r="19" spans="1:9" outlineLevel="1">
      <c r="A19" s="274">
        <v>45139</v>
      </c>
      <c r="B19" s="275">
        <v>6</v>
      </c>
      <c r="C19" s="276">
        <f t="shared" si="2"/>
        <v>88743588.991966277</v>
      </c>
      <c r="D19" s="277">
        <f t="shared" si="0"/>
        <v>1159695.1247224817</v>
      </c>
      <c r="E19" s="276">
        <f t="shared" si="1"/>
        <v>2340304.8752775183</v>
      </c>
      <c r="F19" s="276">
        <f t="shared" si="3"/>
        <v>3500000</v>
      </c>
      <c r="G19" s="136"/>
      <c r="H19" s="136"/>
      <c r="I19" s="136"/>
    </row>
    <row r="20" spans="1:9" outlineLevel="1">
      <c r="A20" s="274">
        <v>45170</v>
      </c>
      <c r="B20" s="275">
        <v>7</v>
      </c>
      <c r="C20" s="276">
        <f t="shared" si="2"/>
        <v>86403284.116688758</v>
      </c>
      <c r="D20" s="277">
        <f t="shared" si="0"/>
        <v>1129112.1813791683</v>
      </c>
      <c r="E20" s="276">
        <f t="shared" si="1"/>
        <v>2370887.8186208317</v>
      </c>
      <c r="F20" s="276">
        <f t="shared" si="3"/>
        <v>3500000</v>
      </c>
      <c r="G20" s="136"/>
      <c r="H20" s="136"/>
      <c r="I20" s="136"/>
    </row>
    <row r="21" spans="1:9" outlineLevel="1">
      <c r="A21" s="274">
        <v>45200</v>
      </c>
      <c r="B21" s="275">
        <v>8</v>
      </c>
      <c r="C21" s="276">
        <f t="shared" si="2"/>
        <v>84032396.298067927</v>
      </c>
      <c r="D21" s="277">
        <f t="shared" si="0"/>
        <v>1098129.5822331342</v>
      </c>
      <c r="E21" s="276">
        <f t="shared" si="1"/>
        <v>2401870.4177668658</v>
      </c>
      <c r="F21" s="276">
        <f t="shared" si="3"/>
        <v>3500000</v>
      </c>
      <c r="G21" s="136"/>
      <c r="H21" s="136"/>
      <c r="I21" s="136"/>
    </row>
    <row r="22" spans="1:9" outlineLevel="1">
      <c r="A22" s="274">
        <v>45231</v>
      </c>
      <c r="B22" s="275">
        <v>9</v>
      </c>
      <c r="C22" s="276">
        <f t="shared" si="2"/>
        <v>81630525.880301058</v>
      </c>
      <c r="D22" s="277">
        <f t="shared" si="0"/>
        <v>1066742.1046098038</v>
      </c>
      <c r="E22" s="276">
        <f t="shared" si="1"/>
        <v>2433257.8953901962</v>
      </c>
      <c r="F22" s="276">
        <f t="shared" si="3"/>
        <v>3500000</v>
      </c>
      <c r="G22" s="136"/>
      <c r="H22" s="136"/>
      <c r="I22" s="136"/>
    </row>
    <row r="23" spans="1:9" outlineLevel="1">
      <c r="A23" s="274">
        <v>45261</v>
      </c>
      <c r="B23" s="275">
        <v>10</v>
      </c>
      <c r="C23" s="276">
        <f t="shared" si="2"/>
        <v>79197267.984910861</v>
      </c>
      <c r="D23" s="277">
        <f t="shared" si="0"/>
        <v>1034944.4575850484</v>
      </c>
      <c r="E23" s="276">
        <f t="shared" si="1"/>
        <v>2465055.5424149516</v>
      </c>
      <c r="F23" s="276">
        <f t="shared" si="3"/>
        <v>3500000</v>
      </c>
      <c r="G23" s="136"/>
      <c r="H23" s="136"/>
      <c r="I23" s="136"/>
    </row>
    <row r="24" spans="1:9" outlineLevel="1">
      <c r="A24" s="183"/>
      <c r="B24" s="136">
        <v>11</v>
      </c>
      <c r="C24" s="140">
        <f t="shared" si="2"/>
        <v>76732212.442495912</v>
      </c>
      <c r="D24" s="138">
        <f t="shared" si="0"/>
        <v>1002731.2810933073</v>
      </c>
      <c r="E24" s="140">
        <f t="shared" si="1"/>
        <v>2497268.7189066927</v>
      </c>
      <c r="F24" s="140">
        <f t="shared" si="3"/>
        <v>3500000</v>
      </c>
      <c r="G24" s="136"/>
      <c r="H24" s="136"/>
      <c r="I24" s="136"/>
    </row>
    <row r="25" spans="1:9" outlineLevel="1">
      <c r="B25" s="136">
        <v>12</v>
      </c>
      <c r="C25" s="140">
        <f t="shared" si="2"/>
        <v>74234943.723589227</v>
      </c>
      <c r="D25" s="138">
        <f t="shared" si="0"/>
        <v>970097.14502405026</v>
      </c>
      <c r="E25" s="140">
        <f t="shared" si="1"/>
        <v>2529902.85497595</v>
      </c>
      <c r="F25" s="140">
        <f t="shared" si="3"/>
        <v>3500000</v>
      </c>
      <c r="G25" s="136"/>
      <c r="H25" s="136"/>
      <c r="I25" s="136"/>
    </row>
    <row r="26" spans="1:9" outlineLevel="1">
      <c r="B26" s="136">
        <v>13</v>
      </c>
      <c r="C26" s="140">
        <f t="shared" si="2"/>
        <v>71705040.868613273</v>
      </c>
      <c r="D26" s="138">
        <f t="shared" si="0"/>
        <v>937036.54830643616</v>
      </c>
      <c r="E26" s="140">
        <f t="shared" si="1"/>
        <v>2562963.4516935637</v>
      </c>
      <c r="F26" s="140">
        <f t="shared" si="3"/>
        <v>3500000</v>
      </c>
      <c r="G26" s="136"/>
      <c r="H26" s="136"/>
      <c r="I26" s="136"/>
    </row>
    <row r="27" spans="1:9" outlineLevel="1">
      <c r="B27" s="136">
        <v>14</v>
      </c>
      <c r="C27" s="140">
        <f t="shared" si="2"/>
        <v>69142077.416919708</v>
      </c>
      <c r="D27" s="138">
        <f t="shared" si="0"/>
        <v>903543.91798200784</v>
      </c>
      <c r="E27" s="140">
        <f t="shared" si="1"/>
        <v>2596456.0820179922</v>
      </c>
      <c r="F27" s="140">
        <f t="shared" si="3"/>
        <v>3500000</v>
      </c>
      <c r="G27" s="136"/>
      <c r="H27" s="136"/>
      <c r="I27" s="136"/>
    </row>
    <row r="28" spans="1:9" outlineLevel="1">
      <c r="B28" s="136">
        <v>15</v>
      </c>
      <c r="C28" s="140">
        <f t="shared" si="2"/>
        <v>66545621.334901713</v>
      </c>
      <c r="D28" s="138">
        <f t="shared" si="0"/>
        <v>869613.60826527001</v>
      </c>
      <c r="E28" s="140">
        <f t="shared" si="1"/>
        <v>2630386.39173473</v>
      </c>
      <c r="F28" s="140">
        <f t="shared" si="3"/>
        <v>3500000</v>
      </c>
      <c r="G28" s="136"/>
      <c r="H28" s="136"/>
      <c r="I28" s="136"/>
    </row>
    <row r="29" spans="1:9" outlineLevel="1">
      <c r="B29" s="136">
        <v>16</v>
      </c>
      <c r="C29" s="140">
        <f t="shared" si="2"/>
        <v>63915234.943166986</v>
      </c>
      <c r="D29" s="138">
        <f t="shared" si="0"/>
        <v>835239.89959199028</v>
      </c>
      <c r="E29" s="140">
        <f t="shared" si="1"/>
        <v>2664760.1004080097</v>
      </c>
      <c r="F29" s="140">
        <f t="shared" si="3"/>
        <v>3500000</v>
      </c>
      <c r="G29" s="136"/>
      <c r="H29" s="136"/>
      <c r="I29" s="136"/>
    </row>
    <row r="30" spans="1:9" outlineLevel="1">
      <c r="B30" s="136">
        <v>17</v>
      </c>
      <c r="C30" s="140">
        <f t="shared" si="2"/>
        <v>61250474.842758976</v>
      </c>
      <c r="D30" s="138">
        <f t="shared" si="0"/>
        <v>800416.99765506363</v>
      </c>
      <c r="E30" s="140">
        <f t="shared" si="1"/>
        <v>2699583.0023449361</v>
      </c>
      <c r="F30" s="140">
        <f t="shared" si="3"/>
        <v>3500000</v>
      </c>
      <c r="G30" s="136"/>
      <c r="H30" s="136"/>
      <c r="I30" s="136"/>
    </row>
    <row r="31" spans="1:9" outlineLevel="1">
      <c r="B31" s="136">
        <v>18</v>
      </c>
      <c r="C31" s="140">
        <f t="shared" si="2"/>
        <v>58550891.84041404</v>
      </c>
      <c r="D31" s="138">
        <f t="shared" si="0"/>
        <v>765139.03242777812</v>
      </c>
      <c r="E31" s="140">
        <f t="shared" si="1"/>
        <v>2734860.967572222</v>
      </c>
      <c r="F31" s="140">
        <f t="shared" si="3"/>
        <v>3500000</v>
      </c>
      <c r="G31" s="136"/>
      <c r="H31" s="136"/>
      <c r="I31" s="136"/>
    </row>
    <row r="32" spans="1:9" outlineLevel="1">
      <c r="B32" s="136">
        <v>19</v>
      </c>
      <c r="C32" s="140">
        <f t="shared" si="2"/>
        <v>55816030.87284182</v>
      </c>
      <c r="D32" s="138">
        <f t="shared" si="0"/>
        <v>729400.05717431579</v>
      </c>
      <c r="E32" s="140">
        <f t="shared" si="1"/>
        <v>2770599.9428256843</v>
      </c>
      <c r="F32" s="140">
        <f t="shared" si="3"/>
        <v>3500000</v>
      </c>
      <c r="G32" s="136"/>
      <c r="H32" s="136"/>
      <c r="I32" s="136"/>
    </row>
    <row r="33" spans="2:9" outlineLevel="1">
      <c r="B33" s="136">
        <v>20</v>
      </c>
      <c r="C33" s="140">
        <f t="shared" si="2"/>
        <v>53045430.930016138</v>
      </c>
      <c r="D33" s="138">
        <f t="shared" si="0"/>
        <v>693194.04744732357</v>
      </c>
      <c r="E33" s="140">
        <f t="shared" si="1"/>
        <v>2806805.9525526762</v>
      </c>
      <c r="F33" s="140">
        <f t="shared" si="3"/>
        <v>3500000</v>
      </c>
      <c r="G33" s="136"/>
      <c r="H33" s="136"/>
      <c r="I33" s="136"/>
    </row>
    <row r="34" spans="2:9" outlineLevel="1">
      <c r="B34" s="136">
        <v>21</v>
      </c>
      <c r="C34" s="140">
        <f t="shared" si="2"/>
        <v>50238624.977463461</v>
      </c>
      <c r="D34" s="138">
        <f t="shared" si="0"/>
        <v>656514.90007238428</v>
      </c>
      <c r="E34" s="140">
        <f t="shared" si="1"/>
        <v>2843485.0999276158</v>
      </c>
      <c r="F34" s="140">
        <f t="shared" si="3"/>
        <v>3500000</v>
      </c>
      <c r="G34" s="136"/>
      <c r="H34" s="136"/>
      <c r="I34" s="136"/>
    </row>
    <row r="35" spans="2:9" outlineLevel="1">
      <c r="B35" s="136">
        <v>22</v>
      </c>
      <c r="C35" s="140">
        <f t="shared" si="2"/>
        <v>47395139.877535842</v>
      </c>
      <c r="D35" s="138">
        <f t="shared" si="0"/>
        <v>619356.43211921642</v>
      </c>
      <c r="E35" s="140">
        <f t="shared" si="1"/>
        <v>2880643.5678807837</v>
      </c>
      <c r="F35" s="140">
        <f t="shared" si="3"/>
        <v>3500000</v>
      </c>
      <c r="G35" s="136"/>
      <c r="H35" s="136"/>
      <c r="I35" s="136"/>
    </row>
    <row r="36" spans="2:9" outlineLevel="1">
      <c r="B36" s="136">
        <v>23</v>
      </c>
      <c r="C36" s="140">
        <f t="shared" si="2"/>
        <v>44514496.309655055</v>
      </c>
      <c r="D36" s="138">
        <f t="shared" si="0"/>
        <v>581712.3798594306</v>
      </c>
      <c r="E36" s="140">
        <f t="shared" si="1"/>
        <v>2918287.6201405693</v>
      </c>
      <c r="F36" s="140">
        <f t="shared" si="3"/>
        <v>3500000</v>
      </c>
      <c r="G36" s="136"/>
      <c r="H36" s="136"/>
      <c r="I36" s="136"/>
    </row>
    <row r="37" spans="2:9" outlineLevel="1">
      <c r="B37" s="136">
        <v>24</v>
      </c>
      <c r="C37" s="140">
        <f t="shared" si="2"/>
        <v>41596208.689514488</v>
      </c>
      <c r="D37" s="138">
        <f t="shared" si="0"/>
        <v>543576.39771066536</v>
      </c>
      <c r="E37" s="140">
        <f t="shared" si="1"/>
        <v>2956423.6022893349</v>
      </c>
      <c r="F37" s="140">
        <f t="shared" si="3"/>
        <v>3500000</v>
      </c>
      <c r="G37" s="136"/>
      <c r="H37" s="136"/>
      <c r="I37" s="136"/>
    </row>
    <row r="38" spans="2:9" outlineLevel="1">
      <c r="B38" s="136">
        <v>25</v>
      </c>
      <c r="C38" s="140">
        <f t="shared" si="2"/>
        <v>38639785.087225154</v>
      </c>
      <c r="D38" s="138">
        <f t="shared" si="0"/>
        <v>504942.05716692429</v>
      </c>
      <c r="E38" s="140">
        <f t="shared" si="1"/>
        <v>2995057.9428330758</v>
      </c>
      <c r="F38" s="140">
        <f t="shared" si="3"/>
        <v>3500000</v>
      </c>
      <c r="G38" s="136"/>
      <c r="H38" s="136"/>
      <c r="I38" s="136"/>
    </row>
    <row r="39" spans="2:9" outlineLevel="1">
      <c r="B39" s="136">
        <v>26</v>
      </c>
      <c r="C39" s="140">
        <f t="shared" si="2"/>
        <v>35644727.144392081</v>
      </c>
      <c r="D39" s="138">
        <f t="shared" si="0"/>
        <v>465802.8457149365</v>
      </c>
      <c r="E39" s="140">
        <f t="shared" si="1"/>
        <v>3034197.1542850635</v>
      </c>
      <c r="F39" s="140">
        <f t="shared" si="3"/>
        <v>3500000</v>
      </c>
      <c r="G39" s="136"/>
      <c r="H39" s="136"/>
      <c r="I39" s="136"/>
    </row>
    <row r="40" spans="2:9" outlineLevel="1">
      <c r="B40" s="136">
        <v>27</v>
      </c>
      <c r="C40" s="140">
        <f t="shared" si="2"/>
        <v>32610529.990107019</v>
      </c>
      <c r="D40" s="138">
        <f t="shared" si="0"/>
        <v>426152.16573635512</v>
      </c>
      <c r="E40" s="140">
        <f t="shared" si="1"/>
        <v>3073847.8342636451</v>
      </c>
      <c r="F40" s="140">
        <f t="shared" si="3"/>
        <v>3500000</v>
      </c>
      <c r="G40" s="136"/>
      <c r="H40" s="136"/>
      <c r="I40" s="136"/>
    </row>
    <row r="41" spans="2:9" outlineLevel="1">
      <c r="B41" s="136">
        <v>28</v>
      </c>
      <c r="C41" s="140">
        <f t="shared" si="2"/>
        <v>29536682.155843373</v>
      </c>
      <c r="D41" s="138">
        <f t="shared" si="0"/>
        <v>385983.33339560975</v>
      </c>
      <c r="E41" s="140">
        <f t="shared" si="1"/>
        <v>3114016.6666043904</v>
      </c>
      <c r="F41" s="140">
        <f t="shared" si="3"/>
        <v>3500000</v>
      </c>
      <c r="G41" s="136"/>
      <c r="H41" s="136"/>
      <c r="I41" s="136"/>
    </row>
    <row r="42" spans="2:9" outlineLevel="1">
      <c r="B42" s="136">
        <v>29</v>
      </c>
      <c r="C42" s="140">
        <f t="shared" si="2"/>
        <v>26422665.489238985</v>
      </c>
      <c r="D42" s="138">
        <f t="shared" si="0"/>
        <v>345289.57751322613</v>
      </c>
      <c r="E42" s="140">
        <f t="shared" si="1"/>
        <v>3154710.4224867737</v>
      </c>
      <c r="F42" s="140">
        <f t="shared" si="3"/>
        <v>3500000</v>
      </c>
      <c r="G42" s="136"/>
      <c r="H42" s="136"/>
      <c r="I42" s="136"/>
    </row>
    <row r="43" spans="2:9" outlineLevel="1">
      <c r="B43" s="136">
        <v>30</v>
      </c>
      <c r="C43" s="140">
        <f t="shared" si="2"/>
        <v>23267955.06675221</v>
      </c>
      <c r="D43" s="138">
        <f t="shared" si="0"/>
        <v>304064.03842442157</v>
      </c>
      <c r="E43" s="140">
        <f t="shared" si="1"/>
        <v>3195935.9615755784</v>
      </c>
      <c r="F43" s="140">
        <f t="shared" si="3"/>
        <v>3500000</v>
      </c>
      <c r="G43" s="136"/>
      <c r="H43" s="136"/>
      <c r="I43" s="136"/>
    </row>
    <row r="44" spans="2:9" outlineLevel="1">
      <c r="B44" s="136">
        <v>31</v>
      </c>
      <c r="C44" s="140">
        <f t="shared" si="2"/>
        <v>20072019.105176631</v>
      </c>
      <c r="D44" s="138">
        <f t="shared" si="0"/>
        <v>262299.76682278531</v>
      </c>
      <c r="E44" s="140">
        <f t="shared" si="1"/>
        <v>3237700.2331772149</v>
      </c>
      <c r="F44" s="140">
        <f t="shared" si="3"/>
        <v>3500000</v>
      </c>
      <c r="G44" s="136"/>
      <c r="H44" s="136"/>
      <c r="I44" s="136"/>
    </row>
    <row r="45" spans="2:9" outlineLevel="1">
      <c r="B45" s="136">
        <v>32</v>
      </c>
      <c r="C45" s="140">
        <f t="shared" si="2"/>
        <v>16834318.871999417</v>
      </c>
      <c r="D45" s="138">
        <f t="shared" si="0"/>
        <v>219989.72258884783</v>
      </c>
      <c r="E45" s="140">
        <f t="shared" si="1"/>
        <v>3280010.2774111521</v>
      </c>
      <c r="F45" s="140">
        <f t="shared" si="3"/>
        <v>3500000</v>
      </c>
      <c r="G45" s="136"/>
      <c r="H45" s="136"/>
      <c r="I45" s="136"/>
    </row>
    <row r="46" spans="2:9" outlineLevel="1">
      <c r="B46" s="132">
        <v>33</v>
      </c>
      <c r="C46" s="144">
        <f t="shared" si="2"/>
        <v>13554308.594588265</v>
      </c>
      <c r="D46" s="145">
        <f t="shared" si="0"/>
        <v>177126.77360334201</v>
      </c>
      <c r="E46" s="144">
        <f t="shared" si="1"/>
        <v>3322873.226396658</v>
      </c>
      <c r="F46" s="140">
        <f t="shared" si="3"/>
        <v>3500000</v>
      </c>
    </row>
    <row r="47" spans="2:9" outlineLevel="1">
      <c r="B47" s="132">
        <v>34</v>
      </c>
      <c r="C47" s="144">
        <f t="shared" si="2"/>
        <v>10231435.368191607</v>
      </c>
      <c r="D47" s="145">
        <f t="shared" si="0"/>
        <v>133703.69454495597</v>
      </c>
      <c r="E47" s="144">
        <f t="shared" si="1"/>
        <v>3366296.3054550439</v>
      </c>
      <c r="F47" s="140">
        <f t="shared" si="3"/>
        <v>3500000</v>
      </c>
    </row>
    <row r="48" spans="2:9" outlineLevel="1">
      <c r="B48" s="132">
        <v>35</v>
      </c>
      <c r="C48" s="144">
        <f t="shared" si="2"/>
        <v>6865139.0627365634</v>
      </c>
      <c r="D48" s="145">
        <f t="shared" si="0"/>
        <v>89713.165672375399</v>
      </c>
      <c r="E48" s="144">
        <f t="shared" si="1"/>
        <v>3410286.8343276246</v>
      </c>
      <c r="F48" s="140">
        <f t="shared" si="3"/>
        <v>3500000</v>
      </c>
    </row>
    <row r="49" spans="2:9" outlineLevel="1">
      <c r="B49" s="132">
        <v>36</v>
      </c>
      <c r="C49" s="144">
        <f t="shared" si="2"/>
        <v>3454852.2284089387</v>
      </c>
      <c r="D49" s="145">
        <f t="shared" si="0"/>
        <v>45147.771590409233</v>
      </c>
      <c r="E49" s="144">
        <f t="shared" si="1"/>
        <v>3454852.2284095907</v>
      </c>
      <c r="F49" s="140">
        <f t="shared" si="3"/>
        <v>3500000</v>
      </c>
    </row>
    <row r="50" spans="2:9" outlineLevel="1">
      <c r="C50" s="144"/>
      <c r="D50" s="145">
        <f>SUM(D14:D49)</f>
        <v>25999999.999999352</v>
      </c>
      <c r="E50" s="145">
        <f t="shared" ref="E50:F50" si="4">SUM(E14:E49)</f>
        <v>100000000.00000064</v>
      </c>
      <c r="F50" s="145">
        <f t="shared" si="4"/>
        <v>126000000</v>
      </c>
    </row>
    <row r="53" spans="2:9">
      <c r="C53" s="133"/>
      <c r="D53" s="134"/>
    </row>
    <row r="54" spans="2:9">
      <c r="C54" s="133"/>
      <c r="D54" s="134"/>
    </row>
    <row r="55" spans="2:9" outlineLevel="1">
      <c r="D55" s="134"/>
      <c r="H55" s="144"/>
    </row>
    <row r="56" spans="2:9" outlineLevel="1">
      <c r="D56" s="134"/>
      <c r="I56" s="144"/>
    </row>
    <row r="57" spans="2:9" outlineLevel="1">
      <c r="D57" s="134"/>
      <c r="I57" s="144"/>
    </row>
    <row r="58" spans="2:9" outlineLevel="1">
      <c r="D58" s="134"/>
      <c r="H58" s="144"/>
      <c r="I58" s="144"/>
    </row>
    <row r="59" spans="2:9">
      <c r="D59" s="134"/>
    </row>
    <row r="60" spans="2:9">
      <c r="C60" s="133"/>
      <c r="D60" s="134"/>
    </row>
    <row r="61" spans="2:9">
      <c r="D61" s="134"/>
    </row>
    <row r="62" spans="2:9" outlineLevel="1">
      <c r="C62" s="134"/>
      <c r="D62" s="134"/>
      <c r="H62" s="144"/>
    </row>
    <row r="63" spans="2:9" outlineLevel="1">
      <c r="C63" s="146"/>
      <c r="D63" s="134"/>
      <c r="H63" s="144"/>
    </row>
    <row r="64" spans="2:9" outlineLevel="1">
      <c r="D64" s="134"/>
      <c r="H64" s="144"/>
    </row>
    <row r="65" spans="3:9" outlineLevel="1">
      <c r="D65" s="146"/>
      <c r="I65" s="144"/>
    </row>
    <row r="66" spans="3:9">
      <c r="D66" s="134"/>
    </row>
    <row r="67" spans="3:9">
      <c r="D67" s="134"/>
    </row>
    <row r="68" spans="3:9">
      <c r="C68" s="133"/>
      <c r="D68" s="134"/>
    </row>
    <row r="69" spans="3:9" outlineLevel="1">
      <c r="D69" s="134"/>
      <c r="H69" s="144"/>
    </row>
    <row r="70" spans="3:9" outlineLevel="1">
      <c r="C70" s="146"/>
      <c r="D70" s="134"/>
      <c r="H70" s="144"/>
    </row>
    <row r="71" spans="3:9" outlineLevel="1">
      <c r="D71" s="143"/>
      <c r="I71" s="144"/>
    </row>
  </sheetData>
  <pageMargins left="0.75" right="0.75" top="1" bottom="1" header="0.5" footer="0.5"/>
  <pageSetup scale="84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0" workbookViewId="0">
      <selection activeCell="I40" sqref="I40"/>
    </sheetView>
  </sheetViews>
  <sheetFormatPr baseColWidth="10" defaultColWidth="9.140625" defaultRowHeight="15"/>
  <cols>
    <col min="1" max="1" width="26" style="546" bestFit="1" customWidth="1"/>
    <col min="2" max="2" width="42" style="546" bestFit="1" customWidth="1"/>
    <col min="3" max="8" width="13" style="546" bestFit="1" customWidth="1"/>
    <col min="9" max="10" width="12" style="546" bestFit="1" customWidth="1"/>
    <col min="11" max="16384" width="9.140625" style="546"/>
  </cols>
  <sheetData>
    <row r="1" spans="1:14">
      <c r="A1" s="824" t="s">
        <v>409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</row>
    <row r="2" spans="1:14">
      <c r="A2" s="825" t="s">
        <v>619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</row>
    <row r="3" spans="1:14">
      <c r="A3" s="825" t="s">
        <v>654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</row>
    <row r="4" spans="1:14">
      <c r="A4" s="547"/>
      <c r="B4" s="547"/>
      <c r="C4" s="547"/>
      <c r="D4" s="547"/>
      <c r="E4" s="826" t="s">
        <v>620</v>
      </c>
      <c r="F4" s="826"/>
      <c r="G4" s="826" t="s">
        <v>322</v>
      </c>
      <c r="H4" s="826"/>
      <c r="I4" s="826" t="s">
        <v>621</v>
      </c>
      <c r="J4" s="826"/>
    </row>
    <row r="5" spans="1:14">
      <c r="A5" s="547" t="s">
        <v>622</v>
      </c>
      <c r="B5" s="547" t="s">
        <v>623</v>
      </c>
      <c r="C5" s="547" t="s">
        <v>624</v>
      </c>
      <c r="D5" s="547" t="s">
        <v>625</v>
      </c>
      <c r="E5" s="547" t="s">
        <v>626</v>
      </c>
      <c r="F5" s="547" t="s">
        <v>627</v>
      </c>
      <c r="G5" s="547" t="s">
        <v>10</v>
      </c>
      <c r="H5" s="547" t="s">
        <v>11</v>
      </c>
      <c r="I5" s="547" t="s">
        <v>628</v>
      </c>
      <c r="J5" s="547" t="s">
        <v>629</v>
      </c>
    </row>
    <row r="6" spans="1:14">
      <c r="A6" s="546">
        <v>101001</v>
      </c>
      <c r="B6" s="546" t="s">
        <v>2</v>
      </c>
      <c r="C6" s="52">
        <v>79196000</v>
      </c>
      <c r="D6" s="52">
        <v>60354081</v>
      </c>
      <c r="E6" s="52">
        <f>+IF(C6-D6&gt;0,C6-D6,0)</f>
        <v>18841919</v>
      </c>
      <c r="F6" s="52">
        <f>IF((D6-C6)&gt;0,D6-C6,0)</f>
        <v>0</v>
      </c>
      <c r="G6" s="52">
        <f t="shared" ref="G6:H6" si="0">IF(E6&gt;0,E6,0)</f>
        <v>18841919</v>
      </c>
      <c r="H6" s="52">
        <f t="shared" si="0"/>
        <v>0</v>
      </c>
      <c r="I6" s="52">
        <v>0</v>
      </c>
      <c r="J6" s="52">
        <v>0</v>
      </c>
    </row>
    <row r="7" spans="1:14">
      <c r="A7" s="546">
        <v>101005</v>
      </c>
      <c r="B7" s="546" t="s">
        <v>630</v>
      </c>
      <c r="C7" s="52">
        <v>47098500</v>
      </c>
      <c r="D7" s="52">
        <v>47098500</v>
      </c>
      <c r="E7" s="52">
        <f t="shared" ref="E7:E20" si="1">+IF(C7-D7&gt;0,C7-D7,0)</f>
        <v>0</v>
      </c>
      <c r="F7" s="52">
        <f t="shared" ref="F7:F20" si="2">IF((D7-C7)&gt;0,D7-C7,0)</f>
        <v>0</v>
      </c>
      <c r="G7" s="52">
        <f t="shared" ref="G7:G20" si="3">IF(E7&gt;0,E7,0)</f>
        <v>0</v>
      </c>
      <c r="H7" s="52">
        <f t="shared" ref="H7:H20" si="4">IF(F7&gt;0,F7,0)</f>
        <v>0</v>
      </c>
      <c r="I7" s="52">
        <v>0</v>
      </c>
      <c r="J7" s="52">
        <v>0</v>
      </c>
    </row>
    <row r="8" spans="1:14">
      <c r="A8" s="546">
        <v>101020</v>
      </c>
      <c r="B8" s="546" t="s">
        <v>52</v>
      </c>
      <c r="C8" s="52">
        <v>33529961</v>
      </c>
      <c r="D8" s="52">
        <v>24105161</v>
      </c>
      <c r="E8" s="52">
        <f t="shared" ref="E8" si="5">+IF(C8-D8&gt;0,C8-D8,0)</f>
        <v>9424800</v>
      </c>
      <c r="F8" s="52">
        <f t="shared" ref="F8" si="6">IF((D8-C8)&gt;0,D8-C8,0)</f>
        <v>0</v>
      </c>
      <c r="G8" s="52">
        <f t="shared" ref="G8" si="7">IF(E8&gt;0,E8,0)</f>
        <v>9424800</v>
      </c>
      <c r="H8" s="52">
        <f t="shared" ref="H8" si="8">IF(F8&gt;0,F8,0)</f>
        <v>0</v>
      </c>
      <c r="I8" s="52">
        <v>0</v>
      </c>
      <c r="J8" s="52">
        <v>0</v>
      </c>
      <c r="L8" s="546" t="s">
        <v>797</v>
      </c>
    </row>
    <row r="9" spans="1:14">
      <c r="A9" s="729">
        <v>101052</v>
      </c>
      <c r="B9" s="729" t="s">
        <v>82</v>
      </c>
      <c r="C9" s="718">
        <v>20000000</v>
      </c>
      <c r="D9" s="718"/>
      <c r="E9" s="718">
        <f t="shared" si="1"/>
        <v>20000000</v>
      </c>
      <c r="F9" s="718">
        <f t="shared" si="2"/>
        <v>0</v>
      </c>
      <c r="G9" s="718">
        <f t="shared" si="3"/>
        <v>20000000</v>
      </c>
      <c r="H9" s="718">
        <f t="shared" si="4"/>
        <v>0</v>
      </c>
      <c r="I9" s="718">
        <v>0</v>
      </c>
      <c r="J9" s="718">
        <v>0</v>
      </c>
    </row>
    <row r="10" spans="1:14">
      <c r="A10" s="546">
        <v>102001</v>
      </c>
      <c r="B10" s="546" t="s">
        <v>631</v>
      </c>
      <c r="C10" s="52">
        <v>14033614</v>
      </c>
      <c r="D10" s="52">
        <v>0</v>
      </c>
      <c r="E10" s="52">
        <f t="shared" si="1"/>
        <v>14033614</v>
      </c>
      <c r="F10" s="52">
        <f t="shared" si="2"/>
        <v>0</v>
      </c>
      <c r="G10" s="52">
        <f t="shared" si="3"/>
        <v>14033614</v>
      </c>
      <c r="H10" s="52">
        <f t="shared" si="4"/>
        <v>0</v>
      </c>
      <c r="I10" s="52">
        <v>0</v>
      </c>
      <c r="J10" s="52">
        <v>0</v>
      </c>
      <c r="L10" s="546" t="s">
        <v>755</v>
      </c>
    </row>
    <row r="11" spans="1:14">
      <c r="A11" s="546">
        <v>202001</v>
      </c>
      <c r="B11" s="546" t="s">
        <v>632</v>
      </c>
      <c r="C11" s="52">
        <v>0</v>
      </c>
      <c r="D11" s="52">
        <v>1534927</v>
      </c>
      <c r="E11" s="52">
        <f t="shared" si="1"/>
        <v>0</v>
      </c>
      <c r="F11" s="52">
        <f t="shared" si="2"/>
        <v>1534927</v>
      </c>
      <c r="G11" s="52">
        <f t="shared" si="3"/>
        <v>0</v>
      </c>
      <c r="H11" s="52">
        <f t="shared" si="4"/>
        <v>1534927</v>
      </c>
      <c r="I11" s="52">
        <v>0</v>
      </c>
      <c r="J11" s="52">
        <v>0</v>
      </c>
      <c r="L11" s="548" t="s">
        <v>352</v>
      </c>
    </row>
    <row r="12" spans="1:14">
      <c r="A12" s="546">
        <v>103001</v>
      </c>
      <c r="B12" s="546" t="s">
        <v>258</v>
      </c>
      <c r="C12" s="52">
        <v>2411949</v>
      </c>
      <c r="D12" s="52">
        <v>838372</v>
      </c>
      <c r="E12" s="52">
        <f t="shared" si="1"/>
        <v>1573577</v>
      </c>
      <c r="F12" s="52">
        <f t="shared" si="2"/>
        <v>0</v>
      </c>
      <c r="G12" s="52">
        <f t="shared" si="3"/>
        <v>1573577</v>
      </c>
      <c r="H12" s="52">
        <f t="shared" si="4"/>
        <v>0</v>
      </c>
      <c r="I12" s="52">
        <v>0</v>
      </c>
      <c r="J12" s="52">
        <v>0</v>
      </c>
    </row>
    <row r="13" spans="1:14">
      <c r="A13" s="546">
        <v>103002</v>
      </c>
      <c r="B13" s="546" t="s">
        <v>16</v>
      </c>
      <c r="C13" s="52">
        <v>7337054</v>
      </c>
      <c r="D13" s="52">
        <v>7337054</v>
      </c>
      <c r="E13" s="52">
        <f t="shared" si="1"/>
        <v>0</v>
      </c>
      <c r="F13" s="52">
        <f t="shared" si="2"/>
        <v>0</v>
      </c>
      <c r="G13" s="52">
        <f t="shared" si="3"/>
        <v>0</v>
      </c>
      <c r="H13" s="52">
        <f t="shared" si="4"/>
        <v>0</v>
      </c>
      <c r="I13" s="52">
        <v>0</v>
      </c>
      <c r="J13" s="52">
        <v>0</v>
      </c>
      <c r="L13" s="824"/>
      <c r="M13" s="824"/>
      <c r="N13" s="824"/>
    </row>
    <row r="14" spans="1:14">
      <c r="A14" s="546">
        <v>105002</v>
      </c>
      <c r="B14" s="546" t="s">
        <v>213</v>
      </c>
      <c r="C14" s="52">
        <v>12825000</v>
      </c>
      <c r="D14" s="52"/>
      <c r="E14" s="52">
        <f t="shared" si="1"/>
        <v>12825000</v>
      </c>
      <c r="F14" s="52">
        <f t="shared" si="2"/>
        <v>0</v>
      </c>
      <c r="G14" s="52">
        <f t="shared" si="3"/>
        <v>12825000</v>
      </c>
      <c r="H14" s="52">
        <f t="shared" si="4"/>
        <v>0</v>
      </c>
      <c r="I14" s="52">
        <v>0</v>
      </c>
      <c r="J14" s="52">
        <v>0</v>
      </c>
      <c r="L14" s="549"/>
      <c r="M14" s="549"/>
      <c r="N14" s="549"/>
    </row>
    <row r="15" spans="1:14">
      <c r="A15" s="546">
        <v>201001</v>
      </c>
      <c r="B15" s="546" t="s">
        <v>6</v>
      </c>
      <c r="C15" s="52">
        <v>46423465</v>
      </c>
      <c r="D15" s="52">
        <v>64840439</v>
      </c>
      <c r="E15" s="52">
        <f t="shared" si="1"/>
        <v>0</v>
      </c>
      <c r="F15" s="52">
        <f t="shared" si="2"/>
        <v>18416974</v>
      </c>
      <c r="G15" s="52">
        <f t="shared" si="3"/>
        <v>0</v>
      </c>
      <c r="H15" s="52">
        <f t="shared" si="4"/>
        <v>18416974</v>
      </c>
      <c r="I15" s="52">
        <v>0</v>
      </c>
      <c r="J15" s="52">
        <v>0</v>
      </c>
      <c r="L15" s="549" t="s">
        <v>756</v>
      </c>
      <c r="M15" s="549"/>
      <c r="N15" s="549"/>
    </row>
    <row r="16" spans="1:14">
      <c r="A16" s="546">
        <v>201004</v>
      </c>
      <c r="B16" s="546" t="s">
        <v>7</v>
      </c>
      <c r="C16" s="52">
        <v>13698511</v>
      </c>
      <c r="D16" s="52">
        <v>13826205</v>
      </c>
      <c r="E16" s="52">
        <f t="shared" si="1"/>
        <v>0</v>
      </c>
      <c r="F16" s="52">
        <f t="shared" si="2"/>
        <v>127694</v>
      </c>
      <c r="G16" s="52">
        <f t="shared" si="3"/>
        <v>0</v>
      </c>
      <c r="H16" s="52">
        <f t="shared" si="4"/>
        <v>127694</v>
      </c>
      <c r="I16" s="52">
        <v>0</v>
      </c>
      <c r="J16" s="52">
        <v>0</v>
      </c>
      <c r="L16" s="549"/>
      <c r="M16" s="549"/>
      <c r="N16" s="549"/>
    </row>
    <row r="17" spans="1:14">
      <c r="A17" s="546">
        <v>201010</v>
      </c>
      <c r="B17" s="546" t="s">
        <v>633</v>
      </c>
      <c r="C17" s="52">
        <v>163263</v>
      </c>
      <c r="D17" s="52">
        <v>267019</v>
      </c>
      <c r="E17" s="52">
        <f t="shared" si="1"/>
        <v>0</v>
      </c>
      <c r="F17" s="52">
        <f t="shared" si="2"/>
        <v>103756</v>
      </c>
      <c r="G17" s="52">
        <f t="shared" si="3"/>
        <v>0</v>
      </c>
      <c r="H17" s="52">
        <f t="shared" si="4"/>
        <v>103756</v>
      </c>
      <c r="I17" s="52">
        <v>0</v>
      </c>
      <c r="J17" s="52">
        <v>0</v>
      </c>
      <c r="L17" s="549"/>
      <c r="M17" s="549"/>
      <c r="N17" s="549"/>
    </row>
    <row r="18" spans="1:14">
      <c r="A18" s="546">
        <v>201011</v>
      </c>
      <c r="B18" s="546" t="s">
        <v>634</v>
      </c>
      <c r="C18" s="52">
        <v>4588044</v>
      </c>
      <c r="D18" s="52">
        <v>38000000</v>
      </c>
      <c r="E18" s="52">
        <f t="shared" si="1"/>
        <v>0</v>
      </c>
      <c r="F18" s="52">
        <f t="shared" si="2"/>
        <v>33411956</v>
      </c>
      <c r="G18" s="52">
        <f t="shared" si="3"/>
        <v>0</v>
      </c>
      <c r="H18" s="52">
        <f t="shared" si="4"/>
        <v>33411956</v>
      </c>
      <c r="I18" s="52">
        <v>0</v>
      </c>
      <c r="J18" s="52">
        <v>0</v>
      </c>
      <c r="L18" s="549"/>
      <c r="M18" s="549"/>
      <c r="N18" s="549"/>
    </row>
    <row r="19" spans="1:14">
      <c r="A19" s="729">
        <v>301001</v>
      </c>
      <c r="B19" s="729" t="s">
        <v>635</v>
      </c>
      <c r="C19" s="718">
        <v>0</v>
      </c>
      <c r="D19" s="718">
        <v>10000000</v>
      </c>
      <c r="E19" s="718">
        <f t="shared" si="1"/>
        <v>0</v>
      </c>
      <c r="F19" s="718">
        <f t="shared" si="2"/>
        <v>10000000</v>
      </c>
      <c r="G19" s="718">
        <f t="shared" si="3"/>
        <v>0</v>
      </c>
      <c r="H19" s="718">
        <f t="shared" si="4"/>
        <v>10000000</v>
      </c>
      <c r="I19" s="718">
        <v>0</v>
      </c>
      <c r="J19" s="718">
        <v>0</v>
      </c>
      <c r="L19" s="549"/>
      <c r="M19" s="549"/>
      <c r="N19" s="549"/>
    </row>
    <row r="20" spans="1:14">
      <c r="A20" s="729">
        <v>301003</v>
      </c>
      <c r="B20" s="729" t="s">
        <v>212</v>
      </c>
      <c r="C20" s="718">
        <v>0</v>
      </c>
      <c r="D20" s="718">
        <v>9305000</v>
      </c>
      <c r="E20" s="718">
        <f t="shared" si="1"/>
        <v>0</v>
      </c>
      <c r="F20" s="718">
        <f t="shared" si="2"/>
        <v>9305000</v>
      </c>
      <c r="G20" s="718">
        <f t="shared" si="3"/>
        <v>0</v>
      </c>
      <c r="H20" s="718">
        <f t="shared" si="4"/>
        <v>9305000</v>
      </c>
      <c r="I20" s="718">
        <v>0</v>
      </c>
      <c r="J20" s="718">
        <v>0</v>
      </c>
      <c r="L20" s="549"/>
      <c r="M20" s="549"/>
      <c r="N20" s="549"/>
    </row>
    <row r="21" spans="1:14">
      <c r="A21" s="546">
        <v>501001</v>
      </c>
      <c r="B21" s="550" t="s">
        <v>636</v>
      </c>
      <c r="C21" s="52">
        <v>908160</v>
      </c>
      <c r="D21" s="52">
        <v>35874100</v>
      </c>
      <c r="E21" s="52">
        <f t="shared" ref="E21" si="9">IF(C21&gt;D21,(C21-D21),0)</f>
        <v>0</v>
      </c>
      <c r="F21" s="52">
        <f t="shared" ref="F21" si="10">IF(D21&gt;C21,D21-C21,0)</f>
        <v>34965940</v>
      </c>
      <c r="G21" s="52"/>
      <c r="H21" s="52"/>
      <c r="I21" s="52">
        <f t="shared" ref="I21" si="11">IF(E21&gt;F21,E21,0)</f>
        <v>0</v>
      </c>
      <c r="J21" s="52">
        <f t="shared" ref="J21" si="12">IF(F21&gt;E21,F21,0)</f>
        <v>34965940</v>
      </c>
    </row>
    <row r="22" spans="1:14">
      <c r="A22" s="546">
        <v>502002</v>
      </c>
      <c r="B22" s="550" t="s">
        <v>637</v>
      </c>
      <c r="C22" s="52">
        <v>0</v>
      </c>
      <c r="D22" s="52">
        <v>57008</v>
      </c>
      <c r="E22" s="52">
        <f t="shared" ref="E22:E37" si="13">IF(C22&gt;D22,(C22-D22),0)</f>
        <v>0</v>
      </c>
      <c r="F22" s="52">
        <f t="shared" ref="F22:F37" si="14">IF(D22&gt;C22,D22-C22,0)</f>
        <v>57008</v>
      </c>
      <c r="G22" s="52"/>
      <c r="H22" s="52"/>
      <c r="I22" s="52">
        <f t="shared" ref="I22:I37" si="15">IF(E22&gt;F22,E22,0)</f>
        <v>0</v>
      </c>
      <c r="J22" s="52">
        <f t="shared" ref="J22:J37" si="16">IF(F22&gt;E22,F22,0)</f>
        <v>57008</v>
      </c>
      <c r="L22" s="551"/>
      <c r="M22" s="551"/>
    </row>
    <row r="23" spans="1:14">
      <c r="A23" s="546">
        <v>502003</v>
      </c>
      <c r="B23" s="550" t="s">
        <v>638</v>
      </c>
      <c r="C23" s="52">
        <v>0</v>
      </c>
      <c r="D23" s="52">
        <v>54238</v>
      </c>
      <c r="E23" s="52">
        <f t="shared" si="13"/>
        <v>0</v>
      </c>
      <c r="F23" s="52">
        <f t="shared" si="14"/>
        <v>54238</v>
      </c>
      <c r="G23" s="52"/>
      <c r="H23" s="52"/>
      <c r="I23" s="52">
        <f t="shared" si="15"/>
        <v>0</v>
      </c>
      <c r="J23" s="52">
        <f t="shared" si="16"/>
        <v>54238</v>
      </c>
      <c r="L23" s="551"/>
      <c r="M23" s="551"/>
    </row>
    <row r="24" spans="1:14">
      <c r="A24" s="546">
        <v>402001</v>
      </c>
      <c r="B24" s="546" t="s">
        <v>19</v>
      </c>
      <c r="C24" s="52">
        <v>1488240</v>
      </c>
      <c r="D24" s="52">
        <v>0</v>
      </c>
      <c r="E24" s="52">
        <f t="shared" si="13"/>
        <v>1488240</v>
      </c>
      <c r="F24" s="52">
        <f t="shared" si="14"/>
        <v>0</v>
      </c>
      <c r="G24" s="52"/>
      <c r="H24" s="52"/>
      <c r="I24" s="52">
        <f t="shared" si="15"/>
        <v>1488240</v>
      </c>
      <c r="J24" s="52">
        <f t="shared" si="16"/>
        <v>0</v>
      </c>
      <c r="L24" s="551"/>
      <c r="M24" s="551"/>
    </row>
    <row r="25" spans="1:14">
      <c r="A25" s="546">
        <v>402002</v>
      </c>
      <c r="B25" s="546" t="s">
        <v>639</v>
      </c>
      <c r="C25" s="52">
        <v>216000</v>
      </c>
      <c r="D25" s="52">
        <v>0</v>
      </c>
      <c r="E25" s="52">
        <f t="shared" si="13"/>
        <v>216000</v>
      </c>
      <c r="F25" s="52">
        <f t="shared" si="14"/>
        <v>0</v>
      </c>
      <c r="G25" s="52"/>
      <c r="H25" s="52"/>
      <c r="I25" s="52">
        <f t="shared" si="15"/>
        <v>216000</v>
      </c>
      <c r="J25" s="52">
        <f t="shared" si="16"/>
        <v>0</v>
      </c>
      <c r="L25" s="551"/>
      <c r="M25" s="551"/>
    </row>
    <row r="26" spans="1:14">
      <c r="A26" s="546">
        <v>402003</v>
      </c>
      <c r="B26" s="546" t="s">
        <v>640</v>
      </c>
      <c r="C26" s="52">
        <v>25041</v>
      </c>
      <c r="D26" s="52">
        <v>0</v>
      </c>
      <c r="E26" s="52">
        <f t="shared" si="13"/>
        <v>25041</v>
      </c>
      <c r="F26" s="52">
        <f t="shared" si="14"/>
        <v>0</v>
      </c>
      <c r="G26" s="52"/>
      <c r="H26" s="52"/>
      <c r="I26" s="52">
        <f t="shared" si="15"/>
        <v>25041</v>
      </c>
      <c r="J26" s="52">
        <f t="shared" si="16"/>
        <v>0</v>
      </c>
      <c r="L26" s="551"/>
      <c r="M26" s="551"/>
    </row>
    <row r="27" spans="1:14">
      <c r="A27" s="546">
        <v>402004</v>
      </c>
      <c r="B27" s="546" t="s">
        <v>641</v>
      </c>
      <c r="C27" s="52">
        <v>21386</v>
      </c>
      <c r="D27" s="52">
        <v>0</v>
      </c>
      <c r="E27" s="52">
        <f t="shared" si="13"/>
        <v>21386</v>
      </c>
      <c r="F27" s="52">
        <f t="shared" si="14"/>
        <v>0</v>
      </c>
      <c r="G27" s="52"/>
      <c r="H27" s="52"/>
      <c r="I27" s="52">
        <f t="shared" si="15"/>
        <v>21386</v>
      </c>
      <c r="J27" s="52">
        <f t="shared" si="16"/>
        <v>0</v>
      </c>
      <c r="L27" s="551"/>
      <c r="M27" s="551"/>
    </row>
    <row r="28" spans="1:14">
      <c r="A28" s="546">
        <v>402006</v>
      </c>
      <c r="B28" s="546" t="s">
        <v>642</v>
      </c>
      <c r="C28" s="52">
        <v>420000</v>
      </c>
      <c r="D28" s="52">
        <v>0</v>
      </c>
      <c r="E28" s="52">
        <f t="shared" si="13"/>
        <v>420000</v>
      </c>
      <c r="F28" s="52">
        <f t="shared" si="14"/>
        <v>0</v>
      </c>
      <c r="G28" s="52"/>
      <c r="H28" s="52"/>
      <c r="I28" s="52">
        <f t="shared" si="15"/>
        <v>420000</v>
      </c>
      <c r="J28" s="52">
        <f t="shared" si="16"/>
        <v>0</v>
      </c>
      <c r="L28" s="551"/>
      <c r="M28" s="551"/>
    </row>
    <row r="29" spans="1:14">
      <c r="A29" s="546">
        <v>402007</v>
      </c>
      <c r="B29" s="546" t="s">
        <v>643</v>
      </c>
      <c r="C29" s="52">
        <v>34059</v>
      </c>
      <c r="D29" s="52">
        <v>0</v>
      </c>
      <c r="E29" s="52">
        <f t="shared" si="13"/>
        <v>34059</v>
      </c>
      <c r="F29" s="52">
        <f t="shared" si="14"/>
        <v>0</v>
      </c>
      <c r="G29" s="52"/>
      <c r="H29" s="52"/>
      <c r="I29" s="52">
        <f t="shared" si="15"/>
        <v>34059</v>
      </c>
      <c r="J29" s="52">
        <f t="shared" si="16"/>
        <v>0</v>
      </c>
      <c r="L29" s="551"/>
      <c r="M29" s="551"/>
    </row>
    <row r="30" spans="1:14">
      <c r="A30" s="546">
        <v>402008</v>
      </c>
      <c r="B30" s="546" t="s">
        <v>644</v>
      </c>
      <c r="C30" s="52">
        <v>594398</v>
      </c>
      <c r="D30" s="52">
        <v>0</v>
      </c>
      <c r="E30" s="52">
        <f t="shared" si="13"/>
        <v>594398</v>
      </c>
      <c r="F30" s="52">
        <f t="shared" si="14"/>
        <v>0</v>
      </c>
      <c r="G30" s="52"/>
      <c r="H30" s="52"/>
      <c r="I30" s="52">
        <f t="shared" si="15"/>
        <v>594398</v>
      </c>
      <c r="J30" s="52">
        <f t="shared" si="16"/>
        <v>0</v>
      </c>
      <c r="L30" s="551"/>
      <c r="M30" s="551"/>
    </row>
    <row r="31" spans="1:14">
      <c r="A31" s="546">
        <v>402010</v>
      </c>
      <c r="B31" s="546" t="s">
        <v>645</v>
      </c>
      <c r="C31" s="52">
        <v>90000</v>
      </c>
      <c r="D31" s="52">
        <v>0</v>
      </c>
      <c r="E31" s="52">
        <f t="shared" si="13"/>
        <v>90000</v>
      </c>
      <c r="F31" s="52">
        <f t="shared" si="14"/>
        <v>0</v>
      </c>
      <c r="G31" s="52"/>
      <c r="H31" s="52"/>
      <c r="I31" s="52">
        <f t="shared" si="15"/>
        <v>90000</v>
      </c>
      <c r="J31" s="52">
        <f t="shared" si="16"/>
        <v>0</v>
      </c>
      <c r="L31" s="551"/>
      <c r="M31" s="551"/>
    </row>
    <row r="32" spans="1:14">
      <c r="A32" s="546">
        <v>402011</v>
      </c>
      <c r="B32" s="546" t="s">
        <v>646</v>
      </c>
      <c r="C32" s="52">
        <v>240000</v>
      </c>
      <c r="D32" s="52">
        <v>0</v>
      </c>
      <c r="E32" s="52">
        <f t="shared" si="13"/>
        <v>240000</v>
      </c>
      <c r="F32" s="52">
        <f t="shared" si="14"/>
        <v>0</v>
      </c>
      <c r="G32" s="52"/>
      <c r="H32" s="52"/>
      <c r="I32" s="52">
        <f t="shared" si="15"/>
        <v>240000</v>
      </c>
      <c r="J32" s="52">
        <f t="shared" si="16"/>
        <v>0</v>
      </c>
      <c r="L32" s="551"/>
      <c r="M32" s="551"/>
    </row>
    <row r="33" spans="1:13">
      <c r="A33" s="546">
        <v>402012</v>
      </c>
      <c r="B33" s="546" t="s">
        <v>647</v>
      </c>
      <c r="C33" s="52">
        <v>1088825</v>
      </c>
      <c r="D33" s="52">
        <v>0</v>
      </c>
      <c r="E33" s="52">
        <f t="shared" si="13"/>
        <v>1088825</v>
      </c>
      <c r="F33" s="52">
        <f t="shared" si="14"/>
        <v>0</v>
      </c>
      <c r="G33" s="52"/>
      <c r="H33" s="52"/>
      <c r="I33" s="52">
        <f t="shared" si="15"/>
        <v>1088825</v>
      </c>
      <c r="J33" s="52">
        <f t="shared" si="16"/>
        <v>0</v>
      </c>
      <c r="L33" s="551"/>
      <c r="M33" s="551"/>
    </row>
    <row r="34" spans="1:13">
      <c r="A34" s="546">
        <v>402013</v>
      </c>
      <c r="B34" s="546" t="s">
        <v>648</v>
      </c>
      <c r="C34" s="52">
        <v>1534927</v>
      </c>
      <c r="D34" s="52">
        <v>0</v>
      </c>
      <c r="E34" s="52">
        <f t="shared" si="13"/>
        <v>1534927</v>
      </c>
      <c r="F34" s="52">
        <f t="shared" si="14"/>
        <v>0</v>
      </c>
      <c r="G34" s="52"/>
      <c r="H34" s="52"/>
      <c r="I34" s="52">
        <f t="shared" si="15"/>
        <v>1534927</v>
      </c>
      <c r="J34" s="52">
        <f t="shared" si="16"/>
        <v>0</v>
      </c>
      <c r="L34" s="551"/>
      <c r="M34" s="551"/>
    </row>
    <row r="35" spans="1:13">
      <c r="A35" s="546">
        <v>403001</v>
      </c>
      <c r="B35" s="546" t="s">
        <v>649</v>
      </c>
      <c r="C35" s="52">
        <v>24105161</v>
      </c>
      <c r="D35" s="52"/>
      <c r="E35" s="52">
        <f t="shared" si="13"/>
        <v>24105161</v>
      </c>
      <c r="F35" s="52">
        <f t="shared" si="14"/>
        <v>0</v>
      </c>
      <c r="G35" s="52"/>
      <c r="H35" s="52"/>
      <c r="I35" s="52">
        <f t="shared" si="15"/>
        <v>24105161</v>
      </c>
      <c r="J35" s="52">
        <f t="shared" si="16"/>
        <v>0</v>
      </c>
    </row>
    <row r="36" spans="1:13">
      <c r="A36" s="546">
        <v>405001</v>
      </c>
      <c r="B36" s="546" t="s">
        <v>650</v>
      </c>
      <c r="C36" s="52">
        <v>1397080</v>
      </c>
      <c r="D36" s="52">
        <v>0</v>
      </c>
      <c r="E36" s="52">
        <f t="shared" si="13"/>
        <v>1397080</v>
      </c>
      <c r="F36" s="52">
        <f t="shared" si="14"/>
        <v>0</v>
      </c>
      <c r="G36" s="52"/>
      <c r="H36" s="52"/>
      <c r="I36" s="52">
        <f t="shared" si="15"/>
        <v>1397080</v>
      </c>
      <c r="J36" s="52">
        <f t="shared" si="16"/>
        <v>0</v>
      </c>
    </row>
    <row r="37" spans="1:13">
      <c r="A37" s="546">
        <v>405002</v>
      </c>
      <c r="B37" s="546" t="s">
        <v>670</v>
      </c>
      <c r="C37" s="52">
        <v>23466</v>
      </c>
      <c r="D37" s="52">
        <v>0</v>
      </c>
      <c r="E37" s="52">
        <f t="shared" si="13"/>
        <v>23466</v>
      </c>
      <c r="F37" s="52">
        <f t="shared" si="14"/>
        <v>0</v>
      </c>
      <c r="G37" s="52"/>
      <c r="H37" s="52"/>
      <c r="I37" s="52">
        <f t="shared" si="15"/>
        <v>23466</v>
      </c>
      <c r="J37" s="52">
        <f t="shared" si="16"/>
        <v>0</v>
      </c>
    </row>
    <row r="38" spans="1:13">
      <c r="A38" s="547" t="s">
        <v>651</v>
      </c>
      <c r="B38" s="547"/>
      <c r="C38" s="52">
        <f>SUM(C6:C37)</f>
        <v>313492104</v>
      </c>
      <c r="D38" s="52">
        <f t="shared" ref="D38:J38" si="17">SUM(D6:D37)</f>
        <v>313492104</v>
      </c>
      <c r="E38" s="52">
        <f t="shared" si="17"/>
        <v>107977493</v>
      </c>
      <c r="F38" s="52">
        <f t="shared" si="17"/>
        <v>107977493</v>
      </c>
      <c r="G38" s="52">
        <f t="shared" si="17"/>
        <v>76698910</v>
      </c>
      <c r="H38" s="52">
        <f t="shared" si="17"/>
        <v>72900307</v>
      </c>
      <c r="I38" s="52">
        <f t="shared" si="17"/>
        <v>31278583</v>
      </c>
      <c r="J38" s="52">
        <f t="shared" si="17"/>
        <v>35077186</v>
      </c>
    </row>
    <row r="39" spans="1:13">
      <c r="A39" s="730" t="s">
        <v>652</v>
      </c>
      <c r="B39" s="730"/>
      <c r="C39" s="718"/>
      <c r="D39" s="718"/>
      <c r="E39" s="718"/>
      <c r="F39" s="718"/>
      <c r="G39" s="718">
        <v>0</v>
      </c>
      <c r="H39" s="718">
        <f>G38-H38</f>
        <v>3798603</v>
      </c>
      <c r="I39" s="718">
        <f>J38-I38</f>
        <v>3798603</v>
      </c>
      <c r="J39" s="718">
        <v>0</v>
      </c>
    </row>
    <row r="40" spans="1:13">
      <c r="A40" s="552" t="s">
        <v>653</v>
      </c>
      <c r="B40" s="552"/>
      <c r="C40" s="52">
        <f>SUM(C38:C39)</f>
        <v>313492104</v>
      </c>
      <c r="D40" s="52">
        <f t="shared" ref="D40:J40" si="18">SUM(D38:D39)</f>
        <v>313492104</v>
      </c>
      <c r="E40" s="52">
        <f t="shared" si="18"/>
        <v>107977493</v>
      </c>
      <c r="F40" s="52">
        <f t="shared" si="18"/>
        <v>107977493</v>
      </c>
      <c r="G40" s="52">
        <f t="shared" si="18"/>
        <v>76698910</v>
      </c>
      <c r="H40" s="52">
        <f t="shared" si="18"/>
        <v>76698910</v>
      </c>
      <c r="I40" s="52">
        <f t="shared" si="18"/>
        <v>35077186</v>
      </c>
      <c r="J40" s="52">
        <f t="shared" si="18"/>
        <v>35077186</v>
      </c>
    </row>
    <row r="41" spans="1:13">
      <c r="D41" s="553">
        <f>+D40-C40</f>
        <v>0</v>
      </c>
    </row>
    <row r="46" spans="1:13">
      <c r="I46" s="548"/>
    </row>
    <row r="48" spans="1:13">
      <c r="I48" s="551"/>
    </row>
  </sheetData>
  <sheetProtection formatCells="0" formatColumns="0" formatRows="0" insertColumns="0" insertRows="0" insertHyperlinks="0" deleteColumns="0" deleteRows="0" sort="0" autoFilter="0" pivotTables="0"/>
  <mergeCells count="7">
    <mergeCell ref="L13:N13"/>
    <mergeCell ref="A1:K1"/>
    <mergeCell ref="A2:K2"/>
    <mergeCell ref="A3:K3"/>
    <mergeCell ref="E4:F4"/>
    <mergeCell ref="G4:H4"/>
    <mergeCell ref="I4:J4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workbookViewId="0">
      <selection activeCell="C21" sqref="C21"/>
    </sheetView>
  </sheetViews>
  <sheetFormatPr baseColWidth="10" defaultRowHeight="15"/>
  <cols>
    <col min="2" max="2" width="79.28515625" customWidth="1"/>
    <col min="3" max="3" width="13.7109375" customWidth="1"/>
    <col min="4" max="4" width="13.5703125" customWidth="1"/>
    <col min="5" max="5" width="12.28515625" bestFit="1" customWidth="1"/>
  </cols>
  <sheetData>
    <row r="2" spans="2:3" ht="18.75">
      <c r="B2" s="148"/>
    </row>
    <row r="3" spans="2:3">
      <c r="B3" t="s">
        <v>222</v>
      </c>
    </row>
    <row r="4" spans="2:3">
      <c r="B4" t="s">
        <v>223</v>
      </c>
      <c r="C4" s="149">
        <v>16000000</v>
      </c>
    </row>
    <row r="5" spans="2:3">
      <c r="B5" t="s">
        <v>211</v>
      </c>
      <c r="C5" s="149">
        <v>12000000</v>
      </c>
    </row>
    <row r="6" spans="2:3">
      <c r="B6" s="9" t="s">
        <v>224</v>
      </c>
      <c r="C6" s="150">
        <f>+C4+C5</f>
        <v>28000000</v>
      </c>
    </row>
    <row r="7" spans="2:3" ht="18.75">
      <c r="B7" s="148"/>
    </row>
    <row r="8" spans="2:3" ht="23.25">
      <c r="B8" s="147" t="s">
        <v>216</v>
      </c>
    </row>
    <row r="10" spans="2:3">
      <c r="B10" s="9" t="s">
        <v>669</v>
      </c>
    </row>
    <row r="11" spans="2:3">
      <c r="B11" t="s">
        <v>225</v>
      </c>
      <c r="C11" s="153">
        <f>+'balance YYY SAC 2023 '!G38</f>
        <v>76698910</v>
      </c>
    </row>
    <row r="12" spans="2:3">
      <c r="B12" t="s">
        <v>217</v>
      </c>
      <c r="C12" s="25"/>
    </row>
    <row r="13" spans="2:3">
      <c r="B13" t="s">
        <v>668</v>
      </c>
      <c r="C13" s="153">
        <f>-'balance YYY SAC 2023 '!G9</f>
        <v>-20000000</v>
      </c>
    </row>
    <row r="14" spans="2:3">
      <c r="B14" t="s">
        <v>218</v>
      </c>
      <c r="C14" s="153">
        <f>-'balance YYY SAC 2023 '!H11</f>
        <v>-1534927</v>
      </c>
    </row>
    <row r="15" spans="2:3">
      <c r="B15" t="s">
        <v>219</v>
      </c>
      <c r="C15" s="153">
        <f>-SUM('balance YYY SAC 2023 '!H15:H18)</f>
        <v>-52060380</v>
      </c>
    </row>
    <row r="16" spans="2:3">
      <c r="C16" s="25"/>
    </row>
    <row r="17" spans="2:3">
      <c r="B17" s="9" t="s">
        <v>226</v>
      </c>
      <c r="C17" s="154">
        <f>SUM(C11:C15)</f>
        <v>3103603</v>
      </c>
    </row>
    <row r="18" spans="2:3">
      <c r="C18" s="25"/>
    </row>
    <row r="19" spans="2:3">
      <c r="B19" s="9" t="s">
        <v>227</v>
      </c>
      <c r="C19" s="154">
        <f>+C6</f>
        <v>28000000</v>
      </c>
    </row>
    <row r="21" spans="2:3">
      <c r="B21" s="9" t="s">
        <v>220</v>
      </c>
      <c r="C21" s="154">
        <f>+C19-C17</f>
        <v>24896397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5"/>
  <sheetViews>
    <sheetView showGridLines="0" zoomScale="98" zoomScaleNormal="98" workbookViewId="0">
      <selection activeCell="G16" sqref="G16"/>
    </sheetView>
  </sheetViews>
  <sheetFormatPr baseColWidth="10" defaultColWidth="11.42578125" defaultRowHeight="15"/>
  <cols>
    <col min="1" max="1" width="1.28515625" style="74" customWidth="1"/>
    <col min="2" max="2" width="1.7109375" style="74" customWidth="1"/>
    <col min="3" max="3" width="7.5703125" style="96" customWidth="1"/>
    <col min="4" max="4" width="46.42578125" style="97" bestFit="1" customWidth="1"/>
    <col min="5" max="5" width="21.7109375" style="98" customWidth="1"/>
    <col min="6" max="6" width="16.7109375" style="98" customWidth="1"/>
    <col min="7" max="8" width="13.140625" style="107" customWidth="1"/>
    <col min="9" max="9" width="23.28515625" style="108" customWidth="1"/>
    <col min="10" max="10" width="14" style="74" customWidth="1"/>
    <col min="11" max="11" width="12.28515625" style="74" bestFit="1" customWidth="1"/>
    <col min="12" max="251" width="11.42578125" style="74"/>
    <col min="252" max="254" width="11.42578125" style="74" customWidth="1"/>
    <col min="255" max="255" width="0.85546875" style="74" customWidth="1"/>
    <col min="256" max="256" width="47.42578125" style="74" bestFit="1" customWidth="1"/>
    <col min="257" max="259" width="11.42578125" style="74" customWidth="1"/>
    <col min="260" max="260" width="0.85546875" style="74" customWidth="1"/>
    <col min="261" max="261" width="16.7109375" style="74" bestFit="1" customWidth="1"/>
    <col min="262" max="262" width="0.85546875" style="74" customWidth="1"/>
    <col min="263" max="507" width="11.42578125" style="74"/>
    <col min="508" max="510" width="11.42578125" style="74" customWidth="1"/>
    <col min="511" max="511" width="0.85546875" style="74" customWidth="1"/>
    <col min="512" max="512" width="47.42578125" style="74" bestFit="1" customWidth="1"/>
    <col min="513" max="515" width="11.42578125" style="74" customWidth="1"/>
    <col min="516" max="516" width="0.85546875" style="74" customWidth="1"/>
    <col min="517" max="517" width="16.7109375" style="74" bestFit="1" customWidth="1"/>
    <col min="518" max="518" width="0.85546875" style="74" customWidth="1"/>
    <col min="519" max="763" width="11.42578125" style="74"/>
    <col min="764" max="766" width="11.42578125" style="74" customWidth="1"/>
    <col min="767" max="767" width="0.85546875" style="74" customWidth="1"/>
    <col min="768" max="768" width="47.42578125" style="74" bestFit="1" customWidth="1"/>
    <col min="769" max="771" width="11.42578125" style="74" customWidth="1"/>
    <col min="772" max="772" width="0.85546875" style="74" customWidth="1"/>
    <col min="773" max="773" width="16.7109375" style="74" bestFit="1" customWidth="1"/>
    <col min="774" max="774" width="0.85546875" style="74" customWidth="1"/>
    <col min="775" max="1019" width="11.42578125" style="74"/>
    <col min="1020" max="1022" width="11.42578125" style="74" customWidth="1"/>
    <col min="1023" max="1023" width="0.85546875" style="74" customWidth="1"/>
    <col min="1024" max="1024" width="47.42578125" style="74" bestFit="1" customWidth="1"/>
    <col min="1025" max="1027" width="11.42578125" style="74" customWidth="1"/>
    <col min="1028" max="1028" width="0.85546875" style="74" customWidth="1"/>
    <col min="1029" max="1029" width="16.7109375" style="74" bestFit="1" customWidth="1"/>
    <col min="1030" max="1030" width="0.85546875" style="74" customWidth="1"/>
    <col min="1031" max="1275" width="11.42578125" style="74"/>
    <col min="1276" max="1278" width="11.42578125" style="74" customWidth="1"/>
    <col min="1279" max="1279" width="0.85546875" style="74" customWidth="1"/>
    <col min="1280" max="1280" width="47.42578125" style="74" bestFit="1" customWidth="1"/>
    <col min="1281" max="1283" width="11.42578125" style="74" customWidth="1"/>
    <col min="1284" max="1284" width="0.85546875" style="74" customWidth="1"/>
    <col min="1285" max="1285" width="16.7109375" style="74" bestFit="1" customWidth="1"/>
    <col min="1286" max="1286" width="0.85546875" style="74" customWidth="1"/>
    <col min="1287" max="1531" width="11.42578125" style="74"/>
    <col min="1532" max="1534" width="11.42578125" style="74" customWidth="1"/>
    <col min="1535" max="1535" width="0.85546875" style="74" customWidth="1"/>
    <col min="1536" max="1536" width="47.42578125" style="74" bestFit="1" customWidth="1"/>
    <col min="1537" max="1539" width="11.42578125" style="74" customWidth="1"/>
    <col min="1540" max="1540" width="0.85546875" style="74" customWidth="1"/>
    <col min="1541" max="1541" width="16.7109375" style="74" bestFit="1" customWidth="1"/>
    <col min="1542" max="1542" width="0.85546875" style="74" customWidth="1"/>
    <col min="1543" max="1787" width="11.42578125" style="74"/>
    <col min="1788" max="1790" width="11.42578125" style="74" customWidth="1"/>
    <col min="1791" max="1791" width="0.85546875" style="74" customWidth="1"/>
    <col min="1792" max="1792" width="47.42578125" style="74" bestFit="1" customWidth="1"/>
    <col min="1793" max="1795" width="11.42578125" style="74" customWidth="1"/>
    <col min="1796" max="1796" width="0.85546875" style="74" customWidth="1"/>
    <col min="1797" max="1797" width="16.7109375" style="74" bestFit="1" customWidth="1"/>
    <col min="1798" max="1798" width="0.85546875" style="74" customWidth="1"/>
    <col min="1799" max="2043" width="11.42578125" style="74"/>
    <col min="2044" max="2046" width="11.42578125" style="74" customWidth="1"/>
    <col min="2047" max="2047" width="0.85546875" style="74" customWidth="1"/>
    <col min="2048" max="2048" width="47.42578125" style="74" bestFit="1" customWidth="1"/>
    <col min="2049" max="2051" width="11.42578125" style="74" customWidth="1"/>
    <col min="2052" max="2052" width="0.85546875" style="74" customWidth="1"/>
    <col min="2053" max="2053" width="16.7109375" style="74" bestFit="1" customWidth="1"/>
    <col min="2054" max="2054" width="0.85546875" style="74" customWidth="1"/>
    <col min="2055" max="2299" width="11.42578125" style="74"/>
    <col min="2300" max="2302" width="11.42578125" style="74" customWidth="1"/>
    <col min="2303" max="2303" width="0.85546875" style="74" customWidth="1"/>
    <col min="2304" max="2304" width="47.42578125" style="74" bestFit="1" customWidth="1"/>
    <col min="2305" max="2307" width="11.42578125" style="74" customWidth="1"/>
    <col min="2308" max="2308" width="0.85546875" style="74" customWidth="1"/>
    <col min="2309" max="2309" width="16.7109375" style="74" bestFit="1" customWidth="1"/>
    <col min="2310" max="2310" width="0.85546875" style="74" customWidth="1"/>
    <col min="2311" max="2555" width="11.42578125" style="74"/>
    <col min="2556" max="2558" width="11.42578125" style="74" customWidth="1"/>
    <col min="2559" max="2559" width="0.85546875" style="74" customWidth="1"/>
    <col min="2560" max="2560" width="47.42578125" style="74" bestFit="1" customWidth="1"/>
    <col min="2561" max="2563" width="11.42578125" style="74" customWidth="1"/>
    <col min="2564" max="2564" width="0.85546875" style="74" customWidth="1"/>
    <col min="2565" max="2565" width="16.7109375" style="74" bestFit="1" customWidth="1"/>
    <col min="2566" max="2566" width="0.85546875" style="74" customWidth="1"/>
    <col min="2567" max="2811" width="11.42578125" style="74"/>
    <col min="2812" max="2814" width="11.42578125" style="74" customWidth="1"/>
    <col min="2815" max="2815" width="0.85546875" style="74" customWidth="1"/>
    <col min="2816" max="2816" width="47.42578125" style="74" bestFit="1" customWidth="1"/>
    <col min="2817" max="2819" width="11.42578125" style="74" customWidth="1"/>
    <col min="2820" max="2820" width="0.85546875" style="74" customWidth="1"/>
    <col min="2821" max="2821" width="16.7109375" style="74" bestFit="1" customWidth="1"/>
    <col min="2822" max="2822" width="0.85546875" style="74" customWidth="1"/>
    <col min="2823" max="3067" width="11.42578125" style="74"/>
    <col min="3068" max="3070" width="11.42578125" style="74" customWidth="1"/>
    <col min="3071" max="3071" width="0.85546875" style="74" customWidth="1"/>
    <col min="3072" max="3072" width="47.42578125" style="74" bestFit="1" customWidth="1"/>
    <col min="3073" max="3075" width="11.42578125" style="74" customWidth="1"/>
    <col min="3076" max="3076" width="0.85546875" style="74" customWidth="1"/>
    <col min="3077" max="3077" width="16.7109375" style="74" bestFit="1" customWidth="1"/>
    <col min="3078" max="3078" width="0.85546875" style="74" customWidth="1"/>
    <col min="3079" max="3323" width="11.42578125" style="74"/>
    <col min="3324" max="3326" width="11.42578125" style="74" customWidth="1"/>
    <col min="3327" max="3327" width="0.85546875" style="74" customWidth="1"/>
    <col min="3328" max="3328" width="47.42578125" style="74" bestFit="1" customWidth="1"/>
    <col min="3329" max="3331" width="11.42578125" style="74" customWidth="1"/>
    <col min="3332" max="3332" width="0.85546875" style="74" customWidth="1"/>
    <col min="3333" max="3333" width="16.7109375" style="74" bestFit="1" customWidth="1"/>
    <col min="3334" max="3334" width="0.85546875" style="74" customWidth="1"/>
    <col min="3335" max="3579" width="11.42578125" style="74"/>
    <col min="3580" max="3582" width="11.42578125" style="74" customWidth="1"/>
    <col min="3583" max="3583" width="0.85546875" style="74" customWidth="1"/>
    <col min="3584" max="3584" width="47.42578125" style="74" bestFit="1" customWidth="1"/>
    <col min="3585" max="3587" width="11.42578125" style="74" customWidth="1"/>
    <col min="3588" max="3588" width="0.85546875" style="74" customWidth="1"/>
    <col min="3589" max="3589" width="16.7109375" style="74" bestFit="1" customWidth="1"/>
    <col min="3590" max="3590" width="0.85546875" style="74" customWidth="1"/>
    <col min="3591" max="3835" width="11.42578125" style="74"/>
    <col min="3836" max="3838" width="11.42578125" style="74" customWidth="1"/>
    <col min="3839" max="3839" width="0.85546875" style="74" customWidth="1"/>
    <col min="3840" max="3840" width="47.42578125" style="74" bestFit="1" customWidth="1"/>
    <col min="3841" max="3843" width="11.42578125" style="74" customWidth="1"/>
    <col min="3844" max="3844" width="0.85546875" style="74" customWidth="1"/>
    <col min="3845" max="3845" width="16.7109375" style="74" bestFit="1" customWidth="1"/>
    <col min="3846" max="3846" width="0.85546875" style="74" customWidth="1"/>
    <col min="3847" max="4091" width="11.42578125" style="74"/>
    <col min="4092" max="4094" width="11.42578125" style="74" customWidth="1"/>
    <col min="4095" max="4095" width="0.85546875" style="74" customWidth="1"/>
    <col min="4096" max="4096" width="47.42578125" style="74" bestFit="1" customWidth="1"/>
    <col min="4097" max="4099" width="11.42578125" style="74" customWidth="1"/>
    <col min="4100" max="4100" width="0.85546875" style="74" customWidth="1"/>
    <col min="4101" max="4101" width="16.7109375" style="74" bestFit="1" customWidth="1"/>
    <col min="4102" max="4102" width="0.85546875" style="74" customWidth="1"/>
    <col min="4103" max="4347" width="11.42578125" style="74"/>
    <col min="4348" max="4350" width="11.42578125" style="74" customWidth="1"/>
    <col min="4351" max="4351" width="0.85546875" style="74" customWidth="1"/>
    <col min="4352" max="4352" width="47.42578125" style="74" bestFit="1" customWidth="1"/>
    <col min="4353" max="4355" width="11.42578125" style="74" customWidth="1"/>
    <col min="4356" max="4356" width="0.85546875" style="74" customWidth="1"/>
    <col min="4357" max="4357" width="16.7109375" style="74" bestFit="1" customWidth="1"/>
    <col min="4358" max="4358" width="0.85546875" style="74" customWidth="1"/>
    <col min="4359" max="4603" width="11.42578125" style="74"/>
    <col min="4604" max="4606" width="11.42578125" style="74" customWidth="1"/>
    <col min="4607" max="4607" width="0.85546875" style="74" customWidth="1"/>
    <col min="4608" max="4608" width="47.42578125" style="74" bestFit="1" customWidth="1"/>
    <col min="4609" max="4611" width="11.42578125" style="74" customWidth="1"/>
    <col min="4612" max="4612" width="0.85546875" style="74" customWidth="1"/>
    <col min="4613" max="4613" width="16.7109375" style="74" bestFit="1" customWidth="1"/>
    <col min="4614" max="4614" width="0.85546875" style="74" customWidth="1"/>
    <col min="4615" max="4859" width="11.42578125" style="74"/>
    <col min="4860" max="4862" width="11.42578125" style="74" customWidth="1"/>
    <col min="4863" max="4863" width="0.85546875" style="74" customWidth="1"/>
    <col min="4864" max="4864" width="47.42578125" style="74" bestFit="1" customWidth="1"/>
    <col min="4865" max="4867" width="11.42578125" style="74" customWidth="1"/>
    <col min="4868" max="4868" width="0.85546875" style="74" customWidth="1"/>
    <col min="4869" max="4869" width="16.7109375" style="74" bestFit="1" customWidth="1"/>
    <col min="4870" max="4870" width="0.85546875" style="74" customWidth="1"/>
    <col min="4871" max="5115" width="11.42578125" style="74"/>
    <col min="5116" max="5118" width="11.42578125" style="74" customWidth="1"/>
    <col min="5119" max="5119" width="0.85546875" style="74" customWidth="1"/>
    <col min="5120" max="5120" width="47.42578125" style="74" bestFit="1" customWidth="1"/>
    <col min="5121" max="5123" width="11.42578125" style="74" customWidth="1"/>
    <col min="5124" max="5124" width="0.85546875" style="74" customWidth="1"/>
    <col min="5125" max="5125" width="16.7109375" style="74" bestFit="1" customWidth="1"/>
    <col min="5126" max="5126" width="0.85546875" style="74" customWidth="1"/>
    <col min="5127" max="5371" width="11.42578125" style="74"/>
    <col min="5372" max="5374" width="11.42578125" style="74" customWidth="1"/>
    <col min="5375" max="5375" width="0.85546875" style="74" customWidth="1"/>
    <col min="5376" max="5376" width="47.42578125" style="74" bestFit="1" customWidth="1"/>
    <col min="5377" max="5379" width="11.42578125" style="74" customWidth="1"/>
    <col min="5380" max="5380" width="0.85546875" style="74" customWidth="1"/>
    <col min="5381" max="5381" width="16.7109375" style="74" bestFit="1" customWidth="1"/>
    <col min="5382" max="5382" width="0.85546875" style="74" customWidth="1"/>
    <col min="5383" max="5627" width="11.42578125" style="74"/>
    <col min="5628" max="5630" width="11.42578125" style="74" customWidth="1"/>
    <col min="5631" max="5631" width="0.85546875" style="74" customWidth="1"/>
    <col min="5632" max="5632" width="47.42578125" style="74" bestFit="1" customWidth="1"/>
    <col min="5633" max="5635" width="11.42578125" style="74" customWidth="1"/>
    <col min="5636" max="5636" width="0.85546875" style="74" customWidth="1"/>
    <col min="5637" max="5637" width="16.7109375" style="74" bestFit="1" customWidth="1"/>
    <col min="5638" max="5638" width="0.85546875" style="74" customWidth="1"/>
    <col min="5639" max="5883" width="11.42578125" style="74"/>
    <col min="5884" max="5886" width="11.42578125" style="74" customWidth="1"/>
    <col min="5887" max="5887" width="0.85546875" style="74" customWidth="1"/>
    <col min="5888" max="5888" width="47.42578125" style="74" bestFit="1" customWidth="1"/>
    <col min="5889" max="5891" width="11.42578125" style="74" customWidth="1"/>
    <col min="5892" max="5892" width="0.85546875" style="74" customWidth="1"/>
    <col min="5893" max="5893" width="16.7109375" style="74" bestFit="1" customWidth="1"/>
    <col min="5894" max="5894" width="0.85546875" style="74" customWidth="1"/>
    <col min="5895" max="6139" width="11.42578125" style="74"/>
    <col min="6140" max="6142" width="11.42578125" style="74" customWidth="1"/>
    <col min="6143" max="6143" width="0.85546875" style="74" customWidth="1"/>
    <col min="6144" max="6144" width="47.42578125" style="74" bestFit="1" customWidth="1"/>
    <col min="6145" max="6147" width="11.42578125" style="74" customWidth="1"/>
    <col min="6148" max="6148" width="0.85546875" style="74" customWidth="1"/>
    <col min="6149" max="6149" width="16.7109375" style="74" bestFit="1" customWidth="1"/>
    <col min="6150" max="6150" width="0.85546875" style="74" customWidth="1"/>
    <col min="6151" max="6395" width="11.42578125" style="74"/>
    <col min="6396" max="6398" width="11.42578125" style="74" customWidth="1"/>
    <col min="6399" max="6399" width="0.85546875" style="74" customWidth="1"/>
    <col min="6400" max="6400" width="47.42578125" style="74" bestFit="1" customWidth="1"/>
    <col min="6401" max="6403" width="11.42578125" style="74" customWidth="1"/>
    <col min="6404" max="6404" width="0.85546875" style="74" customWidth="1"/>
    <col min="6405" max="6405" width="16.7109375" style="74" bestFit="1" customWidth="1"/>
    <col min="6406" max="6406" width="0.85546875" style="74" customWidth="1"/>
    <col min="6407" max="6651" width="11.42578125" style="74"/>
    <col min="6652" max="6654" width="11.42578125" style="74" customWidth="1"/>
    <col min="6655" max="6655" width="0.85546875" style="74" customWidth="1"/>
    <col min="6656" max="6656" width="47.42578125" style="74" bestFit="1" customWidth="1"/>
    <col min="6657" max="6659" width="11.42578125" style="74" customWidth="1"/>
    <col min="6660" max="6660" width="0.85546875" style="74" customWidth="1"/>
    <col min="6661" max="6661" width="16.7109375" style="74" bestFit="1" customWidth="1"/>
    <col min="6662" max="6662" width="0.85546875" style="74" customWidth="1"/>
    <col min="6663" max="6907" width="11.42578125" style="74"/>
    <col min="6908" max="6910" width="11.42578125" style="74" customWidth="1"/>
    <col min="6911" max="6911" width="0.85546875" style="74" customWidth="1"/>
    <col min="6912" max="6912" width="47.42578125" style="74" bestFit="1" customWidth="1"/>
    <col min="6913" max="6915" width="11.42578125" style="74" customWidth="1"/>
    <col min="6916" max="6916" width="0.85546875" style="74" customWidth="1"/>
    <col min="6917" max="6917" width="16.7109375" style="74" bestFit="1" customWidth="1"/>
    <col min="6918" max="6918" width="0.85546875" style="74" customWidth="1"/>
    <col min="6919" max="7163" width="11.42578125" style="74"/>
    <col min="7164" max="7166" width="11.42578125" style="74" customWidth="1"/>
    <col min="7167" max="7167" width="0.85546875" style="74" customWidth="1"/>
    <col min="7168" max="7168" width="47.42578125" style="74" bestFit="1" customWidth="1"/>
    <col min="7169" max="7171" width="11.42578125" style="74" customWidth="1"/>
    <col min="7172" max="7172" width="0.85546875" style="74" customWidth="1"/>
    <col min="7173" max="7173" width="16.7109375" style="74" bestFit="1" customWidth="1"/>
    <col min="7174" max="7174" width="0.85546875" style="74" customWidth="1"/>
    <col min="7175" max="7419" width="11.42578125" style="74"/>
    <col min="7420" max="7422" width="11.42578125" style="74" customWidth="1"/>
    <col min="7423" max="7423" width="0.85546875" style="74" customWidth="1"/>
    <col min="7424" max="7424" width="47.42578125" style="74" bestFit="1" customWidth="1"/>
    <col min="7425" max="7427" width="11.42578125" style="74" customWidth="1"/>
    <col min="7428" max="7428" width="0.85546875" style="74" customWidth="1"/>
    <col min="7429" max="7429" width="16.7109375" style="74" bestFit="1" customWidth="1"/>
    <col min="7430" max="7430" width="0.85546875" style="74" customWidth="1"/>
    <col min="7431" max="7675" width="11.42578125" style="74"/>
    <col min="7676" max="7678" width="11.42578125" style="74" customWidth="1"/>
    <col min="7679" max="7679" width="0.85546875" style="74" customWidth="1"/>
    <col min="7680" max="7680" width="47.42578125" style="74" bestFit="1" customWidth="1"/>
    <col min="7681" max="7683" width="11.42578125" style="74" customWidth="1"/>
    <col min="7684" max="7684" width="0.85546875" style="74" customWidth="1"/>
    <col min="7685" max="7685" width="16.7109375" style="74" bestFit="1" customWidth="1"/>
    <col min="7686" max="7686" width="0.85546875" style="74" customWidth="1"/>
    <col min="7687" max="7931" width="11.42578125" style="74"/>
    <col min="7932" max="7934" width="11.42578125" style="74" customWidth="1"/>
    <col min="7935" max="7935" width="0.85546875" style="74" customWidth="1"/>
    <col min="7936" max="7936" width="47.42578125" style="74" bestFit="1" customWidth="1"/>
    <col min="7937" max="7939" width="11.42578125" style="74" customWidth="1"/>
    <col min="7940" max="7940" width="0.85546875" style="74" customWidth="1"/>
    <col min="7941" max="7941" width="16.7109375" style="74" bestFit="1" customWidth="1"/>
    <col min="7942" max="7942" width="0.85546875" style="74" customWidth="1"/>
    <col min="7943" max="8187" width="11.42578125" style="74"/>
    <col min="8188" max="8190" width="11.42578125" style="74" customWidth="1"/>
    <col min="8191" max="8191" width="0.85546875" style="74" customWidth="1"/>
    <col min="8192" max="8192" width="47.42578125" style="74" bestFit="1" customWidth="1"/>
    <col min="8193" max="8195" width="11.42578125" style="74" customWidth="1"/>
    <col min="8196" max="8196" width="0.85546875" style="74" customWidth="1"/>
    <col min="8197" max="8197" width="16.7109375" style="74" bestFit="1" customWidth="1"/>
    <col min="8198" max="8198" width="0.85546875" style="74" customWidth="1"/>
    <col min="8199" max="8443" width="11.42578125" style="74"/>
    <col min="8444" max="8446" width="11.42578125" style="74" customWidth="1"/>
    <col min="8447" max="8447" width="0.85546875" style="74" customWidth="1"/>
    <col min="8448" max="8448" width="47.42578125" style="74" bestFit="1" customWidth="1"/>
    <col min="8449" max="8451" width="11.42578125" style="74" customWidth="1"/>
    <col min="8452" max="8452" width="0.85546875" style="74" customWidth="1"/>
    <col min="8453" max="8453" width="16.7109375" style="74" bestFit="1" customWidth="1"/>
    <col min="8454" max="8454" width="0.85546875" style="74" customWidth="1"/>
    <col min="8455" max="8699" width="11.42578125" style="74"/>
    <col min="8700" max="8702" width="11.42578125" style="74" customWidth="1"/>
    <col min="8703" max="8703" width="0.85546875" style="74" customWidth="1"/>
    <col min="8704" max="8704" width="47.42578125" style="74" bestFit="1" customWidth="1"/>
    <col min="8705" max="8707" width="11.42578125" style="74" customWidth="1"/>
    <col min="8708" max="8708" width="0.85546875" style="74" customWidth="1"/>
    <col min="8709" max="8709" width="16.7109375" style="74" bestFit="1" customWidth="1"/>
    <col min="8710" max="8710" width="0.85546875" style="74" customWidth="1"/>
    <col min="8711" max="8955" width="11.42578125" style="74"/>
    <col min="8956" max="8958" width="11.42578125" style="74" customWidth="1"/>
    <col min="8959" max="8959" width="0.85546875" style="74" customWidth="1"/>
    <col min="8960" max="8960" width="47.42578125" style="74" bestFit="1" customWidth="1"/>
    <col min="8961" max="8963" width="11.42578125" style="74" customWidth="1"/>
    <col min="8964" max="8964" width="0.85546875" style="74" customWidth="1"/>
    <col min="8965" max="8965" width="16.7109375" style="74" bestFit="1" customWidth="1"/>
    <col min="8966" max="8966" width="0.85546875" style="74" customWidth="1"/>
    <col min="8967" max="9211" width="11.42578125" style="74"/>
    <col min="9212" max="9214" width="11.42578125" style="74" customWidth="1"/>
    <col min="9215" max="9215" width="0.85546875" style="74" customWidth="1"/>
    <col min="9216" max="9216" width="47.42578125" style="74" bestFit="1" customWidth="1"/>
    <col min="9217" max="9219" width="11.42578125" style="74" customWidth="1"/>
    <col min="9220" max="9220" width="0.85546875" style="74" customWidth="1"/>
    <col min="9221" max="9221" width="16.7109375" style="74" bestFit="1" customWidth="1"/>
    <col min="9222" max="9222" width="0.85546875" style="74" customWidth="1"/>
    <col min="9223" max="9467" width="11.42578125" style="74"/>
    <col min="9468" max="9470" width="11.42578125" style="74" customWidth="1"/>
    <col min="9471" max="9471" width="0.85546875" style="74" customWidth="1"/>
    <col min="9472" max="9472" width="47.42578125" style="74" bestFit="1" customWidth="1"/>
    <col min="9473" max="9475" width="11.42578125" style="74" customWidth="1"/>
    <col min="9476" max="9476" width="0.85546875" style="74" customWidth="1"/>
    <col min="9477" max="9477" width="16.7109375" style="74" bestFit="1" customWidth="1"/>
    <col min="9478" max="9478" width="0.85546875" style="74" customWidth="1"/>
    <col min="9479" max="9723" width="11.42578125" style="74"/>
    <col min="9724" max="9726" width="11.42578125" style="74" customWidth="1"/>
    <col min="9727" max="9727" width="0.85546875" style="74" customWidth="1"/>
    <col min="9728" max="9728" width="47.42578125" style="74" bestFit="1" customWidth="1"/>
    <col min="9729" max="9731" width="11.42578125" style="74" customWidth="1"/>
    <col min="9732" max="9732" width="0.85546875" style="74" customWidth="1"/>
    <col min="9733" max="9733" width="16.7109375" style="74" bestFit="1" customWidth="1"/>
    <col min="9734" max="9734" width="0.85546875" style="74" customWidth="1"/>
    <col min="9735" max="9979" width="11.42578125" style="74"/>
    <col min="9980" max="9982" width="11.42578125" style="74" customWidth="1"/>
    <col min="9983" max="9983" width="0.85546875" style="74" customWidth="1"/>
    <col min="9984" max="9984" width="47.42578125" style="74" bestFit="1" customWidth="1"/>
    <col min="9985" max="9987" width="11.42578125" style="74" customWidth="1"/>
    <col min="9988" max="9988" width="0.85546875" style="74" customWidth="1"/>
    <col min="9989" max="9989" width="16.7109375" style="74" bestFit="1" customWidth="1"/>
    <col min="9990" max="9990" width="0.85546875" style="74" customWidth="1"/>
    <col min="9991" max="10235" width="11.42578125" style="74"/>
    <col min="10236" max="10238" width="11.42578125" style="74" customWidth="1"/>
    <col min="10239" max="10239" width="0.85546875" style="74" customWidth="1"/>
    <col min="10240" max="10240" width="47.42578125" style="74" bestFit="1" customWidth="1"/>
    <col min="10241" max="10243" width="11.42578125" style="74" customWidth="1"/>
    <col min="10244" max="10244" width="0.85546875" style="74" customWidth="1"/>
    <col min="10245" max="10245" width="16.7109375" style="74" bestFit="1" customWidth="1"/>
    <col min="10246" max="10246" width="0.85546875" style="74" customWidth="1"/>
    <col min="10247" max="10491" width="11.42578125" style="74"/>
    <col min="10492" max="10494" width="11.42578125" style="74" customWidth="1"/>
    <col min="10495" max="10495" width="0.85546875" style="74" customWidth="1"/>
    <col min="10496" max="10496" width="47.42578125" style="74" bestFit="1" customWidth="1"/>
    <col min="10497" max="10499" width="11.42578125" style="74" customWidth="1"/>
    <col min="10500" max="10500" width="0.85546875" style="74" customWidth="1"/>
    <col min="10501" max="10501" width="16.7109375" style="74" bestFit="1" customWidth="1"/>
    <col min="10502" max="10502" width="0.85546875" style="74" customWidth="1"/>
    <col min="10503" max="10747" width="11.42578125" style="74"/>
    <col min="10748" max="10750" width="11.42578125" style="74" customWidth="1"/>
    <col min="10751" max="10751" width="0.85546875" style="74" customWidth="1"/>
    <col min="10752" max="10752" width="47.42578125" style="74" bestFit="1" customWidth="1"/>
    <col min="10753" max="10755" width="11.42578125" style="74" customWidth="1"/>
    <col min="10756" max="10756" width="0.85546875" style="74" customWidth="1"/>
    <col min="10757" max="10757" width="16.7109375" style="74" bestFit="1" customWidth="1"/>
    <col min="10758" max="10758" width="0.85546875" style="74" customWidth="1"/>
    <col min="10759" max="11003" width="11.42578125" style="74"/>
    <col min="11004" max="11006" width="11.42578125" style="74" customWidth="1"/>
    <col min="11007" max="11007" width="0.85546875" style="74" customWidth="1"/>
    <col min="11008" max="11008" width="47.42578125" style="74" bestFit="1" customWidth="1"/>
    <col min="11009" max="11011" width="11.42578125" style="74" customWidth="1"/>
    <col min="11012" max="11012" width="0.85546875" style="74" customWidth="1"/>
    <col min="11013" max="11013" width="16.7109375" style="74" bestFit="1" customWidth="1"/>
    <col min="11014" max="11014" width="0.85546875" style="74" customWidth="1"/>
    <col min="11015" max="11259" width="11.42578125" style="74"/>
    <col min="11260" max="11262" width="11.42578125" style="74" customWidth="1"/>
    <col min="11263" max="11263" width="0.85546875" style="74" customWidth="1"/>
    <col min="11264" max="11264" width="47.42578125" style="74" bestFit="1" customWidth="1"/>
    <col min="11265" max="11267" width="11.42578125" style="74" customWidth="1"/>
    <col min="11268" max="11268" width="0.85546875" style="74" customWidth="1"/>
    <col min="11269" max="11269" width="16.7109375" style="74" bestFit="1" customWidth="1"/>
    <col min="11270" max="11270" width="0.85546875" style="74" customWidth="1"/>
    <col min="11271" max="11515" width="11.42578125" style="74"/>
    <col min="11516" max="11518" width="11.42578125" style="74" customWidth="1"/>
    <col min="11519" max="11519" width="0.85546875" style="74" customWidth="1"/>
    <col min="11520" max="11520" width="47.42578125" style="74" bestFit="1" customWidth="1"/>
    <col min="11521" max="11523" width="11.42578125" style="74" customWidth="1"/>
    <col min="11524" max="11524" width="0.85546875" style="74" customWidth="1"/>
    <col min="11525" max="11525" width="16.7109375" style="74" bestFit="1" customWidth="1"/>
    <col min="11526" max="11526" width="0.85546875" style="74" customWidth="1"/>
    <col min="11527" max="11771" width="11.42578125" style="74"/>
    <col min="11772" max="11774" width="11.42578125" style="74" customWidth="1"/>
    <col min="11775" max="11775" width="0.85546875" style="74" customWidth="1"/>
    <col min="11776" max="11776" width="47.42578125" style="74" bestFit="1" customWidth="1"/>
    <col min="11777" max="11779" width="11.42578125" style="74" customWidth="1"/>
    <col min="11780" max="11780" width="0.85546875" style="74" customWidth="1"/>
    <col min="11781" max="11781" width="16.7109375" style="74" bestFit="1" customWidth="1"/>
    <col min="11782" max="11782" width="0.85546875" style="74" customWidth="1"/>
    <col min="11783" max="12027" width="11.42578125" style="74"/>
    <col min="12028" max="12030" width="11.42578125" style="74" customWidth="1"/>
    <col min="12031" max="12031" width="0.85546875" style="74" customWidth="1"/>
    <col min="12032" max="12032" width="47.42578125" style="74" bestFit="1" customWidth="1"/>
    <col min="12033" max="12035" width="11.42578125" style="74" customWidth="1"/>
    <col min="12036" max="12036" width="0.85546875" style="74" customWidth="1"/>
    <col min="12037" max="12037" width="16.7109375" style="74" bestFit="1" customWidth="1"/>
    <col min="12038" max="12038" width="0.85546875" style="74" customWidth="1"/>
    <col min="12039" max="12283" width="11.42578125" style="74"/>
    <col min="12284" max="12286" width="11.42578125" style="74" customWidth="1"/>
    <col min="12287" max="12287" width="0.85546875" style="74" customWidth="1"/>
    <col min="12288" max="12288" width="47.42578125" style="74" bestFit="1" customWidth="1"/>
    <col min="12289" max="12291" width="11.42578125" style="74" customWidth="1"/>
    <col min="12292" max="12292" width="0.85546875" style="74" customWidth="1"/>
    <col min="12293" max="12293" width="16.7109375" style="74" bestFit="1" customWidth="1"/>
    <col min="12294" max="12294" width="0.85546875" style="74" customWidth="1"/>
    <col min="12295" max="12539" width="11.42578125" style="74"/>
    <col min="12540" max="12542" width="11.42578125" style="74" customWidth="1"/>
    <col min="12543" max="12543" width="0.85546875" style="74" customWidth="1"/>
    <col min="12544" max="12544" width="47.42578125" style="74" bestFit="1" customWidth="1"/>
    <col min="12545" max="12547" width="11.42578125" style="74" customWidth="1"/>
    <col min="12548" max="12548" width="0.85546875" style="74" customWidth="1"/>
    <col min="12549" max="12549" width="16.7109375" style="74" bestFit="1" customWidth="1"/>
    <col min="12550" max="12550" width="0.85546875" style="74" customWidth="1"/>
    <col min="12551" max="12795" width="11.42578125" style="74"/>
    <col min="12796" max="12798" width="11.42578125" style="74" customWidth="1"/>
    <col min="12799" max="12799" width="0.85546875" style="74" customWidth="1"/>
    <col min="12800" max="12800" width="47.42578125" style="74" bestFit="1" customWidth="1"/>
    <col min="12801" max="12803" width="11.42578125" style="74" customWidth="1"/>
    <col min="12804" max="12804" width="0.85546875" style="74" customWidth="1"/>
    <col min="12805" max="12805" width="16.7109375" style="74" bestFit="1" customWidth="1"/>
    <col min="12806" max="12806" width="0.85546875" style="74" customWidth="1"/>
    <col min="12807" max="13051" width="11.42578125" style="74"/>
    <col min="13052" max="13054" width="11.42578125" style="74" customWidth="1"/>
    <col min="13055" max="13055" width="0.85546875" style="74" customWidth="1"/>
    <col min="13056" max="13056" width="47.42578125" style="74" bestFit="1" customWidth="1"/>
    <col min="13057" max="13059" width="11.42578125" style="74" customWidth="1"/>
    <col min="13060" max="13060" width="0.85546875" style="74" customWidth="1"/>
    <col min="13061" max="13061" width="16.7109375" style="74" bestFit="1" customWidth="1"/>
    <col min="13062" max="13062" width="0.85546875" style="74" customWidth="1"/>
    <col min="13063" max="13307" width="11.42578125" style="74"/>
    <col min="13308" max="13310" width="11.42578125" style="74" customWidth="1"/>
    <col min="13311" max="13311" width="0.85546875" style="74" customWidth="1"/>
    <col min="13312" max="13312" width="47.42578125" style="74" bestFit="1" customWidth="1"/>
    <col min="13313" max="13315" width="11.42578125" style="74" customWidth="1"/>
    <col min="13316" max="13316" width="0.85546875" style="74" customWidth="1"/>
    <col min="13317" max="13317" width="16.7109375" style="74" bestFit="1" customWidth="1"/>
    <col min="13318" max="13318" width="0.85546875" style="74" customWidth="1"/>
    <col min="13319" max="13563" width="11.42578125" style="74"/>
    <col min="13564" max="13566" width="11.42578125" style="74" customWidth="1"/>
    <col min="13567" max="13567" width="0.85546875" style="74" customWidth="1"/>
    <col min="13568" max="13568" width="47.42578125" style="74" bestFit="1" customWidth="1"/>
    <col min="13569" max="13571" width="11.42578125" style="74" customWidth="1"/>
    <col min="13572" max="13572" width="0.85546875" style="74" customWidth="1"/>
    <col min="13573" max="13573" width="16.7109375" style="74" bestFit="1" customWidth="1"/>
    <col min="13574" max="13574" width="0.85546875" style="74" customWidth="1"/>
    <col min="13575" max="13819" width="11.42578125" style="74"/>
    <col min="13820" max="13822" width="11.42578125" style="74" customWidth="1"/>
    <col min="13823" max="13823" width="0.85546875" style="74" customWidth="1"/>
    <col min="13824" max="13824" width="47.42578125" style="74" bestFit="1" customWidth="1"/>
    <col min="13825" max="13827" width="11.42578125" style="74" customWidth="1"/>
    <col min="13828" max="13828" width="0.85546875" style="74" customWidth="1"/>
    <col min="13829" max="13829" width="16.7109375" style="74" bestFit="1" customWidth="1"/>
    <col min="13830" max="13830" width="0.85546875" style="74" customWidth="1"/>
    <col min="13831" max="14075" width="11.42578125" style="74"/>
    <col min="14076" max="14078" width="11.42578125" style="74" customWidth="1"/>
    <col min="14079" max="14079" width="0.85546875" style="74" customWidth="1"/>
    <col min="14080" max="14080" width="47.42578125" style="74" bestFit="1" customWidth="1"/>
    <col min="14081" max="14083" width="11.42578125" style="74" customWidth="1"/>
    <col min="14084" max="14084" width="0.85546875" style="74" customWidth="1"/>
    <col min="14085" max="14085" width="16.7109375" style="74" bestFit="1" customWidth="1"/>
    <col min="14086" max="14086" width="0.85546875" style="74" customWidth="1"/>
    <col min="14087" max="14331" width="11.42578125" style="74"/>
    <col min="14332" max="14334" width="11.42578125" style="74" customWidth="1"/>
    <col min="14335" max="14335" width="0.85546875" style="74" customWidth="1"/>
    <col min="14336" max="14336" width="47.42578125" style="74" bestFit="1" customWidth="1"/>
    <col min="14337" max="14339" width="11.42578125" style="74" customWidth="1"/>
    <col min="14340" max="14340" width="0.85546875" style="74" customWidth="1"/>
    <col min="14341" max="14341" width="16.7109375" style="74" bestFit="1" customWidth="1"/>
    <col min="14342" max="14342" width="0.85546875" style="74" customWidth="1"/>
    <col min="14343" max="14587" width="11.42578125" style="74"/>
    <col min="14588" max="14590" width="11.42578125" style="74" customWidth="1"/>
    <col min="14591" max="14591" width="0.85546875" style="74" customWidth="1"/>
    <col min="14592" max="14592" width="47.42578125" style="74" bestFit="1" customWidth="1"/>
    <col min="14593" max="14595" width="11.42578125" style="74" customWidth="1"/>
    <col min="14596" max="14596" width="0.85546875" style="74" customWidth="1"/>
    <col min="14597" max="14597" width="16.7109375" style="74" bestFit="1" customWidth="1"/>
    <col min="14598" max="14598" width="0.85546875" style="74" customWidth="1"/>
    <col min="14599" max="14843" width="11.42578125" style="74"/>
    <col min="14844" max="14846" width="11.42578125" style="74" customWidth="1"/>
    <col min="14847" max="14847" width="0.85546875" style="74" customWidth="1"/>
    <col min="14848" max="14848" width="47.42578125" style="74" bestFit="1" customWidth="1"/>
    <col min="14849" max="14851" width="11.42578125" style="74" customWidth="1"/>
    <col min="14852" max="14852" width="0.85546875" style="74" customWidth="1"/>
    <col min="14853" max="14853" width="16.7109375" style="74" bestFit="1" customWidth="1"/>
    <col min="14854" max="14854" width="0.85546875" style="74" customWidth="1"/>
    <col min="14855" max="15099" width="11.42578125" style="74"/>
    <col min="15100" max="15102" width="11.42578125" style="74" customWidth="1"/>
    <col min="15103" max="15103" width="0.85546875" style="74" customWidth="1"/>
    <col min="15104" max="15104" width="47.42578125" style="74" bestFit="1" customWidth="1"/>
    <col min="15105" max="15107" width="11.42578125" style="74" customWidth="1"/>
    <col min="15108" max="15108" width="0.85546875" style="74" customWidth="1"/>
    <col min="15109" max="15109" width="16.7109375" style="74" bestFit="1" customWidth="1"/>
    <col min="15110" max="15110" width="0.85546875" style="74" customWidth="1"/>
    <col min="15111" max="15355" width="11.42578125" style="74"/>
    <col min="15356" max="15358" width="11.42578125" style="74" customWidth="1"/>
    <col min="15359" max="15359" width="0.85546875" style="74" customWidth="1"/>
    <col min="15360" max="15360" width="47.42578125" style="74" bestFit="1" customWidth="1"/>
    <col min="15361" max="15363" width="11.42578125" style="74" customWidth="1"/>
    <col min="15364" max="15364" width="0.85546875" style="74" customWidth="1"/>
    <col min="15365" max="15365" width="16.7109375" style="74" bestFit="1" customWidth="1"/>
    <col min="15366" max="15366" width="0.85546875" style="74" customWidth="1"/>
    <col min="15367" max="15611" width="11.42578125" style="74"/>
    <col min="15612" max="15614" width="11.42578125" style="74" customWidth="1"/>
    <col min="15615" max="15615" width="0.85546875" style="74" customWidth="1"/>
    <col min="15616" max="15616" width="47.42578125" style="74" bestFit="1" customWidth="1"/>
    <col min="15617" max="15619" width="11.42578125" style="74" customWidth="1"/>
    <col min="15620" max="15620" width="0.85546875" style="74" customWidth="1"/>
    <col min="15621" max="15621" width="16.7109375" style="74" bestFit="1" customWidth="1"/>
    <col min="15622" max="15622" width="0.85546875" style="74" customWidth="1"/>
    <col min="15623" max="15867" width="11.42578125" style="74"/>
    <col min="15868" max="15870" width="11.42578125" style="74" customWidth="1"/>
    <col min="15871" max="15871" width="0.85546875" style="74" customWidth="1"/>
    <col min="15872" max="15872" width="47.42578125" style="74" bestFit="1" customWidth="1"/>
    <col min="15873" max="15875" width="11.42578125" style="74" customWidth="1"/>
    <col min="15876" max="15876" width="0.85546875" style="74" customWidth="1"/>
    <col min="15877" max="15877" width="16.7109375" style="74" bestFit="1" customWidth="1"/>
    <col min="15878" max="15878" width="0.85546875" style="74" customWidth="1"/>
    <col min="15879" max="16123" width="11.42578125" style="74"/>
    <col min="16124" max="16126" width="11.42578125" style="74" customWidth="1"/>
    <col min="16127" max="16127" width="0.85546875" style="74" customWidth="1"/>
    <col min="16128" max="16128" width="47.42578125" style="74" bestFit="1" customWidth="1"/>
    <col min="16129" max="16131" width="11.42578125" style="74" customWidth="1"/>
    <col min="16132" max="16132" width="0.85546875" style="74" customWidth="1"/>
    <col min="16133" max="16133" width="16.7109375" style="74" bestFit="1" customWidth="1"/>
    <col min="16134" max="16134" width="0.85546875" style="74" customWidth="1"/>
    <col min="16135" max="16384" width="11.42578125" style="74"/>
  </cols>
  <sheetData>
    <row r="1" spans="2:10" s="70" customFormat="1" ht="12.75">
      <c r="B1" s="69"/>
      <c r="D1" s="71"/>
      <c r="G1" s="72"/>
      <c r="H1" s="72"/>
      <c r="I1" s="72"/>
    </row>
    <row r="2" spans="2:10" s="70" customFormat="1" ht="12.75">
      <c r="D2" s="71"/>
      <c r="G2" s="72"/>
      <c r="H2" s="72"/>
      <c r="I2" s="72"/>
    </row>
    <row r="3" spans="2:10" s="70" customFormat="1" ht="15.75">
      <c r="C3" s="73" t="s">
        <v>273</v>
      </c>
      <c r="D3" s="71"/>
      <c r="G3" s="72"/>
      <c r="H3" s="72"/>
      <c r="I3" s="72"/>
    </row>
    <row r="4" spans="2:10">
      <c r="C4" s="75"/>
      <c r="D4" s="76"/>
      <c r="E4" s="77"/>
      <c r="F4" s="77"/>
      <c r="G4" s="78"/>
      <c r="H4" s="78"/>
      <c r="I4" s="79"/>
    </row>
    <row r="5" spans="2:10" ht="30" customHeight="1">
      <c r="C5" s="80"/>
      <c r="D5" s="731" t="s">
        <v>116</v>
      </c>
      <c r="E5" s="731"/>
      <c r="F5" s="81"/>
      <c r="G5" s="72"/>
      <c r="H5" s="72"/>
      <c r="I5" s="72"/>
    </row>
    <row r="6" spans="2:10" s="82" customFormat="1">
      <c r="D6" s="83" t="s">
        <v>132</v>
      </c>
      <c r="E6" s="84">
        <v>7000000</v>
      </c>
      <c r="F6" s="84"/>
      <c r="G6" s="72"/>
      <c r="H6" s="72"/>
      <c r="I6" s="72"/>
    </row>
    <row r="7" spans="2:10" s="82" customFormat="1">
      <c r="C7" s="85"/>
      <c r="D7" s="83" t="s">
        <v>117</v>
      </c>
      <c r="E7" s="84"/>
      <c r="F7" s="84"/>
      <c r="G7" s="72"/>
      <c r="H7" s="72"/>
      <c r="I7" s="72"/>
    </row>
    <row r="8" spans="2:10" s="82" customFormat="1">
      <c r="C8" s="86"/>
      <c r="D8" s="87" t="s">
        <v>118</v>
      </c>
      <c r="E8" s="84">
        <v>0</v>
      </c>
      <c r="F8" s="84"/>
      <c r="G8" s="72"/>
      <c r="H8" s="72"/>
      <c r="I8" s="72"/>
    </row>
    <row r="9" spans="2:10" s="82" customFormat="1">
      <c r="C9" s="85"/>
      <c r="D9" s="88"/>
      <c r="E9" s="84"/>
      <c r="F9" s="84"/>
      <c r="G9" s="72"/>
      <c r="H9" s="72"/>
      <c r="I9" s="72"/>
    </row>
    <row r="10" spans="2:10" s="82" customFormat="1">
      <c r="C10" s="86"/>
      <c r="D10" s="89" t="s">
        <v>119</v>
      </c>
      <c r="E10" s="90">
        <f>SUM(E6:E9)</f>
        <v>7000000</v>
      </c>
      <c r="F10" s="91"/>
      <c r="G10" s="72"/>
      <c r="H10" s="72"/>
      <c r="I10" s="72"/>
    </row>
    <row r="11" spans="2:10" s="82" customFormat="1" ht="15.75" thickBot="1">
      <c r="C11" s="86"/>
      <c r="D11" s="83" t="s">
        <v>135</v>
      </c>
      <c r="E11" s="92"/>
      <c r="F11" s="84"/>
      <c r="G11" s="72"/>
      <c r="H11" s="72"/>
      <c r="I11" s="72"/>
    </row>
    <row r="12" spans="2:10" s="82" customFormat="1" ht="15.75" customHeight="1" thickTop="1">
      <c r="C12" s="86"/>
      <c r="D12" s="83"/>
      <c r="E12" s="84">
        <f>SUM(E10:E11)</f>
        <v>7000000</v>
      </c>
      <c r="F12" s="84"/>
      <c r="G12" s="72"/>
      <c r="H12" s="72"/>
      <c r="I12" s="72"/>
    </row>
    <row r="13" spans="2:10" s="82" customFormat="1" ht="15" customHeight="1">
      <c r="C13" s="93"/>
      <c r="D13" s="94"/>
      <c r="E13" s="95"/>
      <c r="F13" s="91"/>
      <c r="G13" s="72"/>
      <c r="H13" s="72"/>
      <c r="I13" s="72"/>
    </row>
    <row r="14" spans="2:10">
      <c r="G14" s="72"/>
      <c r="H14" s="72"/>
      <c r="I14" s="72"/>
    </row>
    <row r="15" spans="2:10" ht="63.75" customHeight="1">
      <c r="D15" s="99" t="s">
        <v>274</v>
      </c>
      <c r="E15" s="100" t="s">
        <v>121</v>
      </c>
      <c r="F15" s="100" t="s">
        <v>122</v>
      </c>
      <c r="G15" s="99" t="s">
        <v>123</v>
      </c>
      <c r="H15" s="99" t="s">
        <v>124</v>
      </c>
      <c r="I15" s="99" t="s">
        <v>125</v>
      </c>
      <c r="J15" s="99" t="s">
        <v>275</v>
      </c>
    </row>
    <row r="16" spans="2:10" s="101" customFormat="1" ht="22.5" customHeight="1">
      <c r="C16" s="102"/>
      <c r="D16" s="103" t="s">
        <v>133</v>
      </c>
      <c r="E16" s="104">
        <v>2</v>
      </c>
      <c r="F16" s="104">
        <v>24</v>
      </c>
      <c r="G16" s="105">
        <f>+'activo no corriente 2022 '!J16</f>
        <v>3500000</v>
      </c>
      <c r="H16" s="105">
        <v>12</v>
      </c>
      <c r="I16" s="106">
        <f>+G16</f>
        <v>3500000</v>
      </c>
      <c r="J16" s="106">
        <f>+G16-I16</f>
        <v>0</v>
      </c>
    </row>
    <row r="19" spans="4:10" ht="15.75">
      <c r="D19" s="73"/>
      <c r="E19" s="71"/>
      <c r="F19" s="70"/>
    </row>
    <row r="20" spans="4:10">
      <c r="D20" s="75"/>
      <c r="E20" s="76"/>
      <c r="F20" s="77"/>
    </row>
    <row r="21" spans="4:10">
      <c r="D21" s="80"/>
      <c r="E21" s="731" t="s">
        <v>126</v>
      </c>
      <c r="F21" s="731"/>
    </row>
    <row r="22" spans="4:10" ht="45">
      <c r="D22" s="82"/>
      <c r="E22" s="83" t="s">
        <v>132</v>
      </c>
      <c r="F22" s="84">
        <f>+'activo no corriente 2022 '!F26</f>
        <v>317260000</v>
      </c>
    </row>
    <row r="23" spans="4:10">
      <c r="D23" s="85"/>
      <c r="E23" s="88"/>
      <c r="F23" s="84"/>
    </row>
    <row r="24" spans="4:10">
      <c r="D24" s="86"/>
      <c r="E24" s="89" t="s">
        <v>119</v>
      </c>
      <c r="F24" s="90">
        <f>SUM(F22:F23)</f>
        <v>317260000</v>
      </c>
    </row>
    <row r="25" spans="4:10" ht="30.75" thickBot="1">
      <c r="D25" s="86"/>
      <c r="E25" s="83" t="s">
        <v>136</v>
      </c>
      <c r="F25" s="92"/>
    </row>
    <row r="26" spans="4:10" ht="15.75" thickTop="1">
      <c r="D26" s="86"/>
      <c r="E26" s="83" t="s">
        <v>120</v>
      </c>
      <c r="F26" s="84">
        <f>SUM(F24:F25)</f>
        <v>317260000</v>
      </c>
    </row>
    <row r="27" spans="4:10" ht="30">
      <c r="D27" s="93"/>
      <c r="E27" s="94" t="s">
        <v>127</v>
      </c>
      <c r="F27" s="95"/>
    </row>
    <row r="29" spans="4:10" ht="45">
      <c r="D29" s="99" t="s">
        <v>274</v>
      </c>
      <c r="E29" s="100" t="s">
        <v>121</v>
      </c>
      <c r="F29" s="100" t="s">
        <v>122</v>
      </c>
      <c r="G29" s="99" t="s">
        <v>123</v>
      </c>
      <c r="H29" s="99" t="s">
        <v>124</v>
      </c>
      <c r="I29" s="99" t="s">
        <v>125</v>
      </c>
      <c r="J29" s="99" t="s">
        <v>275</v>
      </c>
    </row>
    <row r="30" spans="4:10">
      <c r="D30" s="103" t="s">
        <v>137</v>
      </c>
      <c r="E30" s="104"/>
      <c r="F30" s="104">
        <f>+E30*12</f>
        <v>0</v>
      </c>
      <c r="G30" s="105">
        <f>+F26</f>
        <v>317260000</v>
      </c>
      <c r="H30" s="105"/>
      <c r="I30" s="106"/>
      <c r="J30" s="106">
        <f>+G30-I30</f>
        <v>317260000</v>
      </c>
    </row>
    <row r="33" spans="4:10" ht="15.75">
      <c r="D33" s="73"/>
      <c r="E33" s="71"/>
      <c r="F33" s="70"/>
    </row>
    <row r="34" spans="4:10">
      <c r="D34" s="75"/>
      <c r="E34" s="76"/>
      <c r="F34" s="77"/>
    </row>
    <row r="35" spans="4:10">
      <c r="D35" s="80"/>
      <c r="E35" s="731" t="s">
        <v>128</v>
      </c>
      <c r="F35" s="731"/>
    </row>
    <row r="36" spans="4:10" ht="45">
      <c r="D36" s="82"/>
      <c r="E36" s="83" t="s">
        <v>132</v>
      </c>
      <c r="F36" s="84">
        <f>+'activo no corriente 2022 '!F38</f>
        <v>50000000</v>
      </c>
    </row>
    <row r="37" spans="4:10">
      <c r="D37" s="85"/>
      <c r="E37" s="88"/>
      <c r="F37" s="84"/>
    </row>
    <row r="38" spans="4:10">
      <c r="D38" s="86"/>
      <c r="E38" s="89" t="s">
        <v>119</v>
      </c>
      <c r="F38" s="90">
        <f>SUM(F36:F37)</f>
        <v>50000000</v>
      </c>
    </row>
    <row r="39" spans="4:10" ht="30.75" thickBot="1">
      <c r="D39" s="86"/>
      <c r="E39" s="83" t="s">
        <v>136</v>
      </c>
      <c r="F39" s="92"/>
    </row>
    <row r="40" spans="4:10" ht="15.75" thickTop="1">
      <c r="D40" s="86"/>
      <c r="E40" s="83" t="s">
        <v>120</v>
      </c>
      <c r="F40" s="84">
        <f>SUM(F38:F39)</f>
        <v>50000000</v>
      </c>
    </row>
    <row r="41" spans="4:10" ht="30">
      <c r="D41" s="93"/>
      <c r="E41" s="94" t="s">
        <v>127</v>
      </c>
      <c r="F41" s="95"/>
    </row>
    <row r="43" spans="4:10" ht="45">
      <c r="D43" s="99" t="s">
        <v>274</v>
      </c>
      <c r="E43" s="100" t="s">
        <v>121</v>
      </c>
      <c r="F43" s="100" t="s">
        <v>122</v>
      </c>
      <c r="G43" s="99" t="s">
        <v>123</v>
      </c>
      <c r="H43" s="99" t="s">
        <v>124</v>
      </c>
      <c r="I43" s="99" t="s">
        <v>125</v>
      </c>
      <c r="J43" s="99" t="s">
        <v>275</v>
      </c>
    </row>
    <row r="44" spans="4:10">
      <c r="D44" s="103" t="s">
        <v>137</v>
      </c>
      <c r="E44" s="104">
        <v>30</v>
      </c>
      <c r="F44" s="104">
        <f>360-12</f>
        <v>348</v>
      </c>
      <c r="G44" s="105">
        <f>+'activo no corriente 2022 '!J44</f>
        <v>48333333.333333336</v>
      </c>
      <c r="H44" s="105">
        <v>12</v>
      </c>
      <c r="I44" s="106">
        <f>+G44/F44*H44</f>
        <v>1666666.666666667</v>
      </c>
      <c r="J44" s="106">
        <f>+G44-I44</f>
        <v>46666666.666666672</v>
      </c>
    </row>
    <row r="47" spans="4:10">
      <c r="D47" s="80"/>
      <c r="E47" s="731" t="s">
        <v>276</v>
      </c>
      <c r="F47" s="731"/>
    </row>
    <row r="48" spans="4:10" ht="45">
      <c r="D48" s="82"/>
      <c r="E48" s="83" t="s">
        <v>278</v>
      </c>
      <c r="F48" s="84">
        <v>22000000</v>
      </c>
    </row>
    <row r="49" spans="4:10">
      <c r="D49" s="85"/>
      <c r="E49" s="88"/>
      <c r="F49" s="84"/>
    </row>
    <row r="50" spans="4:10">
      <c r="D50" s="86"/>
      <c r="E50" s="89" t="s">
        <v>119</v>
      </c>
      <c r="F50" s="90">
        <f>SUM(F48:F49)</f>
        <v>22000000</v>
      </c>
    </row>
    <row r="51" spans="4:10" ht="30.75" thickBot="1">
      <c r="D51" s="86"/>
      <c r="E51" s="83" t="s">
        <v>136</v>
      </c>
      <c r="F51" s="92"/>
    </row>
    <row r="52" spans="4:10" ht="15.75" thickTop="1">
      <c r="D52" s="86"/>
      <c r="E52" s="83" t="s">
        <v>120</v>
      </c>
      <c r="F52" s="84">
        <f>SUM(F50:F51)</f>
        <v>22000000</v>
      </c>
    </row>
    <row r="53" spans="4:10" ht="30">
      <c r="D53" s="93"/>
      <c r="E53" s="94" t="s">
        <v>127</v>
      </c>
      <c r="F53" s="95"/>
    </row>
    <row r="55" spans="4:10" ht="45">
      <c r="D55" s="99" t="s">
        <v>274</v>
      </c>
      <c r="E55" s="100" t="s">
        <v>121</v>
      </c>
      <c r="F55" s="100" t="s">
        <v>122</v>
      </c>
      <c r="G55" s="99" t="s">
        <v>123</v>
      </c>
      <c r="H55" s="99" t="s">
        <v>124</v>
      </c>
      <c r="I55" s="99" t="s">
        <v>125</v>
      </c>
      <c r="J55" s="99" t="s">
        <v>280</v>
      </c>
    </row>
    <row r="56" spans="4:10">
      <c r="D56" s="103" t="s">
        <v>137</v>
      </c>
      <c r="E56" s="104">
        <v>8</v>
      </c>
      <c r="F56" s="104">
        <f>+E56*12</f>
        <v>96</v>
      </c>
      <c r="G56" s="105">
        <f>+F52</f>
        <v>22000000</v>
      </c>
      <c r="H56" s="105">
        <v>5</v>
      </c>
      <c r="I56" s="106">
        <f>+G56/F56*H56</f>
        <v>1145833.3333333333</v>
      </c>
      <c r="J56" s="106">
        <f>+G56-I56</f>
        <v>20854166.666666668</v>
      </c>
    </row>
    <row r="59" spans="4:10">
      <c r="D59" s="80"/>
      <c r="E59" s="731" t="s">
        <v>308</v>
      </c>
      <c r="F59" s="731"/>
    </row>
    <row r="60" spans="4:10" ht="30">
      <c r="D60" s="82"/>
      <c r="E60" s="83" t="s">
        <v>309</v>
      </c>
      <c r="F60" s="84">
        <f>+'balance YYY SAC 2023 '!E10-'balance YYY SAC 2023 '!F11</f>
        <v>12498687</v>
      </c>
    </row>
    <row r="61" spans="4:10">
      <c r="D61" s="85"/>
      <c r="E61" s="88"/>
      <c r="F61" s="84"/>
    </row>
    <row r="62" spans="4:10">
      <c r="D62" s="86"/>
      <c r="E62" s="89" t="s">
        <v>119</v>
      </c>
      <c r="F62" s="90">
        <f>SUM(F60:F61)</f>
        <v>12498687</v>
      </c>
    </row>
    <row r="63" spans="4:10" ht="30.75" thickBot="1">
      <c r="D63" s="86"/>
      <c r="E63" s="83" t="s">
        <v>136</v>
      </c>
      <c r="F63" s="92"/>
    </row>
    <row r="64" spans="4:10" ht="15.75" thickTop="1">
      <c r="D64" s="86"/>
      <c r="E64" s="83" t="s">
        <v>120</v>
      </c>
      <c r="F64" s="84">
        <f>SUM(F62:F63)</f>
        <v>12498687</v>
      </c>
    </row>
    <row r="65" spans="4:10" ht="30">
      <c r="D65" s="93"/>
      <c r="E65" s="94" t="s">
        <v>127</v>
      </c>
      <c r="F65" s="95"/>
    </row>
    <row r="67" spans="4:10" ht="45">
      <c r="D67" s="99" t="s">
        <v>274</v>
      </c>
      <c r="E67" s="100" t="s">
        <v>121</v>
      </c>
      <c r="F67" s="100" t="s">
        <v>122</v>
      </c>
      <c r="G67" s="99" t="s">
        <v>123</v>
      </c>
      <c r="H67" s="99" t="s">
        <v>124</v>
      </c>
      <c r="I67" s="99" t="s">
        <v>125</v>
      </c>
      <c r="J67" s="99" t="s">
        <v>280</v>
      </c>
    </row>
    <row r="68" spans="4:10">
      <c r="D68" s="103" t="s">
        <v>137</v>
      </c>
      <c r="E68" s="104"/>
      <c r="F68" s="104"/>
      <c r="G68" s="105"/>
      <c r="H68" s="105"/>
      <c r="I68" s="106"/>
      <c r="J68" s="106">
        <f>+G68-I68</f>
        <v>0</v>
      </c>
    </row>
    <row r="77" spans="4:10">
      <c r="D77" s="80"/>
      <c r="E77" s="731" t="s">
        <v>277</v>
      </c>
      <c r="F77" s="731"/>
    </row>
    <row r="78" spans="4:10" ht="45">
      <c r="D78" s="82"/>
      <c r="E78" s="83" t="s">
        <v>279</v>
      </c>
      <c r="F78" s="84">
        <v>100000000</v>
      </c>
    </row>
    <row r="79" spans="4:10">
      <c r="D79" s="85"/>
      <c r="E79" s="88"/>
      <c r="F79" s="84"/>
    </row>
    <row r="80" spans="4:10">
      <c r="D80" s="86"/>
      <c r="E80" s="89" t="s">
        <v>119</v>
      </c>
      <c r="F80" s="90">
        <f>SUM(F78:F79)</f>
        <v>100000000</v>
      </c>
    </row>
    <row r="81" spans="2:10" ht="30.75" thickBot="1">
      <c r="D81" s="86"/>
      <c r="E81" s="83" t="s">
        <v>136</v>
      </c>
      <c r="F81" s="92"/>
    </row>
    <row r="82" spans="2:10" ht="15.75" thickTop="1">
      <c r="D82" s="86"/>
      <c r="E82" s="83" t="s">
        <v>120</v>
      </c>
      <c r="F82" s="84">
        <f>SUM(F80:F81)</f>
        <v>100000000</v>
      </c>
    </row>
    <row r="83" spans="2:10" ht="30">
      <c r="D83" s="93"/>
      <c r="E83" s="94" t="s">
        <v>127</v>
      </c>
      <c r="F83" s="95"/>
    </row>
    <row r="85" spans="2:10" ht="45">
      <c r="D85" s="99" t="s">
        <v>274</v>
      </c>
      <c r="E85" s="100" t="s">
        <v>121</v>
      </c>
      <c r="F85" s="100" t="s">
        <v>122</v>
      </c>
      <c r="G85" s="99" t="s">
        <v>123</v>
      </c>
      <c r="H85" s="99" t="s">
        <v>124</v>
      </c>
      <c r="I85" s="99" t="s">
        <v>125</v>
      </c>
      <c r="J85" s="99" t="s">
        <v>275</v>
      </c>
    </row>
    <row r="86" spans="2:10">
      <c r="D86" s="103" t="s">
        <v>137</v>
      </c>
      <c r="E86" s="104">
        <v>3</v>
      </c>
      <c r="F86" s="104">
        <v>36</v>
      </c>
      <c r="G86" s="105">
        <f>+F82</f>
        <v>100000000</v>
      </c>
      <c r="H86" s="105">
        <v>10</v>
      </c>
      <c r="I86" s="106">
        <f>+G86/F86*H86</f>
        <v>27777777.77777778</v>
      </c>
      <c r="J86" s="106">
        <f>+G86-I86</f>
        <v>72222222.222222224</v>
      </c>
    </row>
    <row r="90" spans="2:10" s="107" customFormat="1" ht="15.75">
      <c r="B90" s="74"/>
      <c r="C90" s="96"/>
      <c r="D90" s="73" t="s">
        <v>138</v>
      </c>
      <c r="E90" s="71"/>
      <c r="F90" s="70"/>
      <c r="I90" s="108"/>
      <c r="J90" s="74"/>
    </row>
    <row r="91" spans="2:10" s="107" customFormat="1">
      <c r="B91" s="74"/>
      <c r="C91" s="96"/>
      <c r="D91" s="75"/>
      <c r="E91" s="76"/>
      <c r="F91" s="77"/>
      <c r="I91" s="108"/>
      <c r="J91" s="74"/>
    </row>
    <row r="92" spans="2:10" s="107" customFormat="1">
      <c r="B92" s="74"/>
      <c r="C92" s="96"/>
      <c r="D92" s="80"/>
      <c r="E92" s="731"/>
      <c r="F92" s="731"/>
      <c r="I92" s="108"/>
      <c r="J92" s="74"/>
    </row>
    <row r="93" spans="2:10" s="107" customFormat="1">
      <c r="B93" s="74"/>
      <c r="C93" s="96"/>
      <c r="D93" s="82"/>
      <c r="E93" s="83" t="s">
        <v>129</v>
      </c>
      <c r="F93" s="84"/>
      <c r="I93" s="108"/>
      <c r="J93" s="74"/>
    </row>
    <row r="94" spans="2:10" s="107" customFormat="1">
      <c r="B94" s="74"/>
      <c r="C94" s="96"/>
      <c r="D94" s="85"/>
      <c r="E94" s="109" t="s">
        <v>130</v>
      </c>
      <c r="F94" s="84"/>
      <c r="I94" s="108"/>
      <c r="J94" s="74"/>
    </row>
    <row r="95" spans="2:10" s="107" customFormat="1">
      <c r="B95" s="74"/>
      <c r="C95" s="96"/>
      <c r="D95" s="86"/>
      <c r="E95" s="89" t="s">
        <v>131</v>
      </c>
      <c r="F95" s="90">
        <f>+F93-F94</f>
        <v>0</v>
      </c>
      <c r="I95" s="108"/>
      <c r="J95" s="74"/>
    </row>
  </sheetData>
  <mergeCells count="7">
    <mergeCell ref="D5:E5"/>
    <mergeCell ref="E21:F21"/>
    <mergeCell ref="E35:F35"/>
    <mergeCell ref="E92:F92"/>
    <mergeCell ref="E47:F47"/>
    <mergeCell ref="E77:F77"/>
    <mergeCell ref="E59:F59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showGridLines="0" topLeftCell="A178" zoomScale="96" zoomScaleNormal="96" workbookViewId="0">
      <selection activeCell="B195" sqref="B195:E208"/>
    </sheetView>
  </sheetViews>
  <sheetFormatPr baseColWidth="10" defaultRowHeight="12.75"/>
  <cols>
    <col min="1" max="1" width="11.42578125" style="6"/>
    <col min="2" max="2" width="43.42578125" style="2" customWidth="1"/>
    <col min="3" max="3" width="44.140625" style="197" customWidth="1"/>
    <col min="4" max="5" width="15.42578125" style="2" bestFit="1" customWidth="1"/>
    <col min="6" max="6" width="11.42578125" style="2"/>
    <col min="7" max="7" width="28.85546875" style="2" customWidth="1"/>
    <col min="8" max="8" width="11.42578125" style="2"/>
    <col min="9" max="9" width="11.85546875" style="2" bestFit="1" customWidth="1"/>
    <col min="10" max="10" width="22.5703125" style="2" bestFit="1" customWidth="1"/>
    <col min="11" max="16384" width="11.42578125" style="2"/>
  </cols>
  <sheetData>
    <row r="1" spans="1:6" ht="15">
      <c r="A1" s="3"/>
    </row>
    <row r="2" spans="1:6" ht="15">
      <c r="B2" s="840" t="s">
        <v>37</v>
      </c>
      <c r="C2" s="840"/>
      <c r="D2" s="840"/>
      <c r="E2" s="840"/>
    </row>
    <row r="3" spans="1:6" s="1" customFormat="1" ht="15.75" thickBot="1">
      <c r="A3" s="6"/>
      <c r="B3" s="840" t="s">
        <v>239</v>
      </c>
      <c r="C3" s="840"/>
      <c r="D3" s="840"/>
      <c r="E3" s="840"/>
    </row>
    <row r="4" spans="1:6">
      <c r="A4" s="30" t="s">
        <v>12</v>
      </c>
      <c r="B4" s="31" t="s">
        <v>13</v>
      </c>
      <c r="C4" s="198"/>
      <c r="D4" s="32" t="s">
        <v>5</v>
      </c>
      <c r="E4" s="33" t="s">
        <v>4</v>
      </c>
    </row>
    <row r="5" spans="1:6">
      <c r="A5" s="27"/>
      <c r="B5" s="28"/>
      <c r="C5" s="199"/>
      <c r="D5" s="43"/>
      <c r="E5" s="42"/>
    </row>
    <row r="6" spans="1:6">
      <c r="A6" s="34">
        <v>1</v>
      </c>
      <c r="B6" s="28" t="str">
        <f>+'balance 2022 antes impto andes'!B5</f>
        <v xml:space="preserve">CAJA </v>
      </c>
      <c r="C6" s="200"/>
      <c r="D6" s="43">
        <f>+'balance 2022 antes impto andes'!G5</f>
        <v>7400000</v>
      </c>
      <c r="E6" s="43">
        <f>+'balance 2022 antes impto andes'!H5</f>
        <v>0</v>
      </c>
      <c r="F6" s="2" t="s">
        <v>364</v>
      </c>
    </row>
    <row r="7" spans="1:6">
      <c r="A7" s="34"/>
      <c r="B7" s="28" t="str">
        <f>+'balance 2022 antes impto andes'!B6</f>
        <v>BANCOS</v>
      </c>
      <c r="C7" s="200"/>
      <c r="D7" s="43">
        <f>+'balance 2022 antes impto andes'!G6</f>
        <v>52444800</v>
      </c>
      <c r="E7" s="43">
        <f>+'balance 2022 antes impto andes'!H6</f>
        <v>0</v>
      </c>
      <c r="F7" s="2" t="s">
        <v>364</v>
      </c>
    </row>
    <row r="8" spans="1:6">
      <c r="A8" s="34"/>
      <c r="B8" s="28" t="str">
        <f>+'balance 2022 antes impto andes'!B7</f>
        <v>DEPÓSITOS A PLAZO</v>
      </c>
      <c r="C8" s="200"/>
      <c r="D8" s="43">
        <f>+'balance 2022 antes impto andes'!G7</f>
        <v>50000000</v>
      </c>
      <c r="E8" s="43">
        <f>+'balance 2022 antes impto andes'!H7</f>
        <v>0</v>
      </c>
    </row>
    <row r="9" spans="1:6">
      <c r="A9" s="34"/>
      <c r="B9" s="28" t="str">
        <f>+'balance 2022 antes impto andes'!B8</f>
        <v xml:space="preserve">DEUDORES POR VENTAS </v>
      </c>
      <c r="C9" s="200"/>
      <c r="D9" s="43">
        <f>+'balance 2022 antes impto andes'!G8</f>
        <v>143000000</v>
      </c>
      <c r="E9" s="43">
        <f>+'balance 2022 antes impto andes'!H8</f>
        <v>0</v>
      </c>
    </row>
    <row r="10" spans="1:6">
      <c r="A10" s="34"/>
      <c r="B10" s="28" t="s">
        <v>63</v>
      </c>
      <c r="C10" s="200"/>
      <c r="D10" s="43">
        <f>+'balance 2022 antes impto andes'!G9</f>
        <v>0</v>
      </c>
      <c r="E10" s="43">
        <f>+'balance 2022 antes impto andes'!H9</f>
        <v>7865000</v>
      </c>
    </row>
    <row r="11" spans="1:6">
      <c r="A11" s="34"/>
      <c r="B11" s="28" t="str">
        <f>+'balance 2022 antes impto andes'!B10</f>
        <v>EXISTENCIAS</v>
      </c>
      <c r="C11" s="200"/>
      <c r="D11" s="43">
        <f>+'balance 2022 antes impto andes'!G10</f>
        <v>375000000</v>
      </c>
      <c r="E11" s="43">
        <f>+'balance 2022 antes impto andes'!H10</f>
        <v>0</v>
      </c>
    </row>
    <row r="12" spans="1:6">
      <c r="A12" s="155"/>
      <c r="B12" s="28" t="str">
        <f>+'balance 2022 antes impto andes'!B12</f>
        <v>PPMO</v>
      </c>
      <c r="C12" s="200"/>
      <c r="D12" s="43">
        <f>+'balance 2022 antes impto andes'!G12</f>
        <v>10036000</v>
      </c>
      <c r="E12" s="43">
        <f>+'balance 2022 antes impto andes'!H12</f>
        <v>0</v>
      </c>
    </row>
    <row r="13" spans="1:6">
      <c r="A13" s="155"/>
      <c r="B13" s="28" t="str">
        <f>+'balance 2022 antes impto andes'!B13</f>
        <v>IVA CRÉDITO FISCAL</v>
      </c>
      <c r="C13" s="200"/>
      <c r="D13" s="43">
        <f>+'balance 2022 antes impto andes'!G13</f>
        <v>11685000</v>
      </c>
      <c r="E13" s="43">
        <f>+'balance 2022 antes impto andes'!H13</f>
        <v>0</v>
      </c>
    </row>
    <row r="14" spans="1:6">
      <c r="A14" s="155"/>
      <c r="B14" s="28" t="str">
        <f>+'balance 2022 antes impto andes'!B15</f>
        <v>ACCIONES EN YYY SAC</v>
      </c>
      <c r="C14" s="200"/>
      <c r="D14" s="43">
        <f>+'balance 2022 antes impto andes'!G15</f>
        <v>16000000</v>
      </c>
      <c r="E14" s="43">
        <f>+'balance 2022 antes impto andes'!H15</f>
        <v>0</v>
      </c>
    </row>
    <row r="15" spans="1:6">
      <c r="A15" s="155"/>
      <c r="B15" s="28" t="str">
        <f>+'balance 2022 antes impto andes'!B16</f>
        <v>TERRENOS</v>
      </c>
      <c r="C15" s="200"/>
      <c r="D15" s="43">
        <f>+'balance 2022 antes impto andes'!G16</f>
        <v>317260000</v>
      </c>
      <c r="E15" s="43">
        <f>+'balance 2022 antes impto andes'!H16</f>
        <v>0</v>
      </c>
    </row>
    <row r="16" spans="1:6">
      <c r="A16" s="155"/>
      <c r="B16" s="28" t="str">
        <f>+'balance 2022 antes impto andes'!B17</f>
        <v>DERECHOS DE AGUAS</v>
      </c>
      <c r="C16" s="200"/>
      <c r="D16" s="43">
        <f>+'balance 2022 antes impto andes'!G17</f>
        <v>50000000</v>
      </c>
      <c r="E16" s="43">
        <f>+'balance 2022 antes impto andes'!H17</f>
        <v>0</v>
      </c>
    </row>
    <row r="17" spans="1:5">
      <c r="A17" s="155"/>
      <c r="B17" s="28" t="str">
        <f>+'balance 2022 antes impto andes'!B19</f>
        <v>EQUIPOS COMPUTACIONALES</v>
      </c>
      <c r="C17" s="200"/>
      <c r="D17" s="43">
        <f>+'balance 2022 antes impto andes'!G19</f>
        <v>7000000</v>
      </c>
      <c r="E17" s="43">
        <f>+'balance 2022 antes impto andes'!H19</f>
        <v>0</v>
      </c>
    </row>
    <row r="18" spans="1:5" hidden="1">
      <c r="A18" s="155"/>
      <c r="B18" s="28" t="str">
        <f>+'balance 2022 antes impto andes'!B20</f>
        <v>MUEBLES Y UTILES</v>
      </c>
      <c r="C18" s="200"/>
      <c r="D18" s="43">
        <f>+'balance 2022 antes impto andes'!G20</f>
        <v>0</v>
      </c>
      <c r="E18" s="43">
        <f>+'balance 2022 antes impto andes'!H20</f>
        <v>0</v>
      </c>
    </row>
    <row r="19" spans="1:5" hidden="1">
      <c r="A19" s="155"/>
      <c r="B19" s="28" t="str">
        <f>+'balance 2022 antes impto andes'!B21</f>
        <v>VEHÍCULOS</v>
      </c>
      <c r="C19" s="200"/>
      <c r="D19" s="43">
        <f>+'balance 2022 antes impto andes'!G21</f>
        <v>0</v>
      </c>
      <c r="E19" s="43">
        <f>+'balance 2022 antes impto andes'!H21</f>
        <v>0</v>
      </c>
    </row>
    <row r="20" spans="1:5" hidden="1">
      <c r="A20" s="155"/>
      <c r="B20" s="28" t="str">
        <f>+'balance 2022 antes impto andes'!B22</f>
        <v>VEHICULOS EN LEASING</v>
      </c>
      <c r="C20" s="200"/>
      <c r="D20" s="43">
        <f>+'balance 2022 antes impto andes'!G22</f>
        <v>0</v>
      </c>
      <c r="E20" s="43">
        <f>+'balance 2022 antes impto andes'!H22</f>
        <v>0</v>
      </c>
    </row>
    <row r="21" spans="1:5" hidden="1">
      <c r="A21" s="155"/>
      <c r="B21" s="28" t="str">
        <f>+'balance 2022 antes impto andes'!B23</f>
        <v>MAQUINARIAS EN LEASING</v>
      </c>
      <c r="C21" s="200"/>
      <c r="D21" s="43">
        <f>+'balance 2022 antes impto andes'!G23</f>
        <v>0</v>
      </c>
      <c r="E21" s="43">
        <f>+'balance 2022 antes impto andes'!H23</f>
        <v>0</v>
      </c>
    </row>
    <row r="22" spans="1:5">
      <c r="A22" s="155"/>
      <c r="B22" s="28"/>
      <c r="C22" s="200" t="str">
        <f>+'balance 2022 antes impto andes'!B24</f>
        <v>DEPRECIACIONES ACUMULADAS</v>
      </c>
      <c r="D22" s="43"/>
      <c r="E22" s="43">
        <f>+'balance 2022 antes impto andes'!H24</f>
        <v>5166666.666666666</v>
      </c>
    </row>
    <row r="23" spans="1:5">
      <c r="A23" s="155"/>
      <c r="B23" s="28"/>
      <c r="C23" s="200" t="str">
        <f>+'balance 2022 antes impto andes'!B27</f>
        <v>PRESTAMOS BANCARIOS</v>
      </c>
      <c r="D23" s="43"/>
      <c r="E23" s="43">
        <f>+'balance 2022 antes impto andes'!H27</f>
        <v>42800000</v>
      </c>
    </row>
    <row r="24" spans="1:5">
      <c r="A24" s="155"/>
      <c r="B24" s="28"/>
      <c r="C24" s="200" t="str">
        <f>+'balance 2022 antes impto andes'!B28</f>
        <v>OBLIGACIONES POR LEASING</v>
      </c>
      <c r="D24" s="43"/>
      <c r="E24" s="43">
        <f>+'balance 2022 antes impto andes'!H28</f>
        <v>0</v>
      </c>
    </row>
    <row r="25" spans="1:5">
      <c r="A25" s="155"/>
      <c r="B25" s="28"/>
      <c r="C25" s="200" t="str">
        <f>+'balance 2022 antes impto andes'!B29</f>
        <v>IVA DÉBITO FISCAL</v>
      </c>
      <c r="D25" s="43"/>
      <c r="E25" s="43">
        <f>+'balance 2022 antes impto andes'!H29</f>
        <v>16188000</v>
      </c>
    </row>
    <row r="26" spans="1:5">
      <c r="A26" s="155"/>
      <c r="B26" s="28"/>
      <c r="C26" s="200" t="str">
        <f>+'balance 2022 antes impto andes'!B30</f>
        <v>PROVEEDORES</v>
      </c>
      <c r="D26" s="43"/>
      <c r="E26" s="43">
        <f>+'balance 2022 antes impto andes'!H30</f>
        <v>187410000</v>
      </c>
    </row>
    <row r="27" spans="1:5">
      <c r="A27" s="155"/>
      <c r="B27" s="28"/>
      <c r="C27" s="200" t="str">
        <f>+'balance 2022 antes impto andes'!B31</f>
        <v>ACREEDORES VARIOS</v>
      </c>
      <c r="D27" s="43"/>
      <c r="E27" s="43">
        <f>+'balance 2022 antes impto andes'!H31</f>
        <v>15478000</v>
      </c>
    </row>
    <row r="28" spans="1:5">
      <c r="A28" s="155"/>
      <c r="B28" s="28"/>
      <c r="C28" s="200" t="str">
        <f>+'balance 2022 antes impto andes'!B33</f>
        <v>IMPOSICIONES POR PAGAR</v>
      </c>
      <c r="D28" s="43"/>
      <c r="E28" s="43">
        <f>+'balance 2022 antes impto andes'!H33</f>
        <v>634800</v>
      </c>
    </row>
    <row r="29" spans="1:5">
      <c r="A29" s="155"/>
      <c r="B29" s="28"/>
      <c r="C29" s="200" t="str">
        <f>+'balance 2022 antes impto andes'!B34</f>
        <v>RETENCIONES SEGUNDA CATEGORIA</v>
      </c>
      <c r="D29" s="43"/>
      <c r="E29" s="43">
        <f>+'balance 2022 antes impto andes'!H34</f>
        <v>110000</v>
      </c>
    </row>
    <row r="30" spans="1:5">
      <c r="A30" s="155"/>
      <c r="B30" s="28"/>
      <c r="C30" s="200" t="str">
        <f>+'balance 2022 antes impto andes'!B35</f>
        <v>ANTICIPO DE VENTAS</v>
      </c>
      <c r="D30" s="43"/>
      <c r="E30" s="43">
        <f>+'balance 2022 antes impto andes'!H35</f>
        <v>0</v>
      </c>
    </row>
    <row r="31" spans="1:5">
      <c r="A31" s="155"/>
      <c r="B31" s="28"/>
      <c r="C31" s="200" t="str">
        <f>+'balance 2022 antes impto andes'!B36</f>
        <v>PROVISIÓN IMPUESTO A LA RENTA</v>
      </c>
      <c r="D31" s="43"/>
      <c r="E31" s="43">
        <f>+'balance 2022 antes impto andes'!H36</f>
        <v>0</v>
      </c>
    </row>
    <row r="32" spans="1:5">
      <c r="A32" s="155"/>
      <c r="B32" s="28"/>
      <c r="C32" s="200" t="str">
        <f>+'balance 2022 antes impto andes'!B37</f>
        <v>PROVISIÓN DE INSUMOS  GENERALES</v>
      </c>
      <c r="D32" s="43"/>
      <c r="E32" s="43">
        <f>+'balance 2022 antes impto andes'!H37</f>
        <v>0</v>
      </c>
    </row>
    <row r="33" spans="1:7">
      <c r="A33" s="155"/>
      <c r="B33" s="28"/>
      <c r="C33" s="200" t="str">
        <f>+'balance 2022 antes impto andes'!B38</f>
        <v>PROVISIÓN PPMO</v>
      </c>
      <c r="D33" s="43"/>
      <c r="E33" s="43">
        <f>+'balance 2022 antes impto andes'!H38</f>
        <v>2556000</v>
      </c>
    </row>
    <row r="34" spans="1:7">
      <c r="A34" s="155"/>
      <c r="B34" s="28"/>
      <c r="C34" s="200" t="str">
        <f>+'balance 2022 antes impto andes'!B39</f>
        <v>PROVISIÓN VACACIONES</v>
      </c>
      <c r="D34" s="43"/>
      <c r="E34" s="43">
        <f>+'balance 2022 antes impto andes'!H39</f>
        <v>950499.99999999988</v>
      </c>
    </row>
    <row r="35" spans="1:7">
      <c r="A35" s="155"/>
      <c r="B35" s="28"/>
      <c r="C35" s="200" t="str">
        <f>+'balance 2022 antes impto andes'!B40</f>
        <v>IMPUESTO DIFERIDO</v>
      </c>
      <c r="D35" s="43">
        <f>+'balance 2022 antes impto andes'!G40</f>
        <v>0</v>
      </c>
      <c r="E35" s="43">
        <f>+'balance 2022 final los andes '!H44</f>
        <v>0</v>
      </c>
    </row>
    <row r="36" spans="1:7">
      <c r="A36" s="155"/>
      <c r="B36" s="28"/>
      <c r="C36" s="200" t="str">
        <f>+'balance 2022 antes impto andes'!B41</f>
        <v>CAPITAL SOCIAL</v>
      </c>
      <c r="D36" s="43"/>
      <c r="E36" s="43">
        <f>+'balance 2022 antes impto andes'!H41</f>
        <v>200000000</v>
      </c>
    </row>
    <row r="37" spans="1:7">
      <c r="A37" s="155"/>
      <c r="B37" s="28"/>
      <c r="C37" s="200" t="s">
        <v>79</v>
      </c>
      <c r="D37" s="43">
        <f>+'balance 2022 antes impto andes'!G42</f>
        <v>40000000</v>
      </c>
      <c r="E37" s="43">
        <f>+'balance 2022 antes impto andes'!H42</f>
        <v>0</v>
      </c>
    </row>
    <row r="38" spans="1:7">
      <c r="A38" s="155"/>
      <c r="B38" s="28"/>
      <c r="C38" s="200" t="s">
        <v>80</v>
      </c>
      <c r="D38" s="43">
        <f>+'balance 2022 antes impto andes'!G43</f>
        <v>60000000</v>
      </c>
      <c r="E38" s="43">
        <f>+'balance 2022 antes impto andes'!H43</f>
        <v>0</v>
      </c>
    </row>
    <row r="39" spans="1:7">
      <c r="A39" s="155"/>
      <c r="B39" s="28"/>
      <c r="C39" s="200" t="str">
        <f>+'balance 2022 antes impto andes'!B44</f>
        <v xml:space="preserve">RESERVA IFRS 1 ADOPCIÓN </v>
      </c>
      <c r="D39" s="43"/>
      <c r="E39" s="43">
        <f>+'balance 2022 antes impto andes'!H44</f>
        <v>112500000</v>
      </c>
    </row>
    <row r="40" spans="1:7">
      <c r="A40" s="155"/>
      <c r="B40" s="28"/>
      <c r="C40" s="200" t="str">
        <f>+'balance 2022 antes impto andes'!B45</f>
        <v>DIVIDENDOS PROVISORIOS</v>
      </c>
      <c r="D40" s="43">
        <f>+'balance 2022 antes impto andes'!G45</f>
        <v>25000000</v>
      </c>
      <c r="E40" s="43">
        <f>+'balance 2022 antes impto andes'!H45</f>
        <v>0</v>
      </c>
    </row>
    <row r="41" spans="1:7">
      <c r="A41" s="155"/>
      <c r="B41" s="28"/>
      <c r="C41" s="200" t="str">
        <f>+'balance 2023 los andes antes im'!B50</f>
        <v>UTILIDAD DEL EJERCICIO</v>
      </c>
      <c r="D41" s="43"/>
      <c r="E41" s="43">
        <f>+'balance 2022 final los andes '!I76</f>
        <v>573166833.33333325</v>
      </c>
    </row>
    <row r="42" spans="1:7">
      <c r="A42" s="155"/>
      <c r="B42" s="28"/>
      <c r="C42" s="200"/>
      <c r="D42" s="43"/>
      <c r="E42" s="43"/>
      <c r="G42" s="2">
        <f>+D42-E42</f>
        <v>0</v>
      </c>
    </row>
    <row r="43" spans="1:7" ht="15.75" customHeight="1" thickBot="1">
      <c r="A43" s="36"/>
      <c r="B43" s="841" t="s">
        <v>238</v>
      </c>
      <c r="C43" s="841"/>
      <c r="D43" s="841"/>
      <c r="E43" s="841"/>
    </row>
    <row r="44" spans="1:7">
      <c r="A44" s="38"/>
      <c r="B44" s="41"/>
      <c r="C44" s="201"/>
      <c r="D44" s="44"/>
      <c r="E44" s="46"/>
    </row>
    <row r="45" spans="1:7">
      <c r="A45" s="34">
        <v>2</v>
      </c>
      <c r="B45" s="29" t="s">
        <v>243</v>
      </c>
      <c r="C45" s="196"/>
      <c r="D45" s="45">
        <f>+E41</f>
        <v>573166833.33333325</v>
      </c>
      <c r="E45" s="47"/>
    </row>
    <row r="46" spans="1:7">
      <c r="A46" s="34"/>
      <c r="B46" s="29"/>
      <c r="C46" s="196" t="s">
        <v>244</v>
      </c>
      <c r="D46" s="45"/>
      <c r="E46" s="47">
        <f>+D45</f>
        <v>573166833.33333325</v>
      </c>
    </row>
    <row r="47" spans="1:7" ht="15.75" customHeight="1" thickBot="1">
      <c r="A47" s="36"/>
      <c r="B47" s="827" t="s">
        <v>245</v>
      </c>
      <c r="C47" s="828"/>
      <c r="D47" s="828"/>
      <c r="E47" s="829"/>
    </row>
    <row r="48" spans="1:7">
      <c r="A48" s="38"/>
      <c r="B48" s="37"/>
      <c r="C48" s="202"/>
      <c r="D48" s="48"/>
      <c r="E48" s="49"/>
    </row>
    <row r="49" spans="1:6">
      <c r="A49" s="34">
        <v>3</v>
      </c>
      <c r="B49" s="29" t="s">
        <v>15</v>
      </c>
      <c r="C49" s="196"/>
      <c r="D49" s="45">
        <v>5800000</v>
      </c>
      <c r="E49" s="47"/>
    </row>
    <row r="50" spans="1:6">
      <c r="A50" s="34"/>
      <c r="B50" s="29" t="s">
        <v>16</v>
      </c>
      <c r="C50" s="196"/>
      <c r="D50" s="45">
        <f>+D49*19%</f>
        <v>1102000</v>
      </c>
      <c r="E50" s="47"/>
    </row>
    <row r="51" spans="1:6">
      <c r="A51" s="34"/>
      <c r="B51" s="29"/>
      <c r="C51" s="196" t="s">
        <v>246</v>
      </c>
      <c r="D51" s="45"/>
      <c r="E51" s="47">
        <f>+D49+D50</f>
        <v>6902000</v>
      </c>
      <c r="F51" s="2" t="s">
        <v>364</v>
      </c>
    </row>
    <row r="52" spans="1:6" ht="15.75" customHeight="1" thickBot="1">
      <c r="A52" s="36"/>
      <c r="B52" s="827" t="s">
        <v>247</v>
      </c>
      <c r="C52" s="828"/>
      <c r="D52" s="828"/>
      <c r="E52" s="829"/>
    </row>
    <row r="53" spans="1:6">
      <c r="A53" s="167">
        <v>4</v>
      </c>
      <c r="B53" s="168" t="s">
        <v>7</v>
      </c>
      <c r="C53" s="203"/>
      <c r="D53" s="169">
        <f>+'balance 2022 antes impto andes'!H29</f>
        <v>16188000</v>
      </c>
      <c r="E53" s="170"/>
    </row>
    <row r="54" spans="1:6">
      <c r="A54" s="171"/>
      <c r="B54" s="37" t="str">
        <f>+'balance 2022 antes impto andes'!B38</f>
        <v>PROVISIÓN PPMO</v>
      </c>
      <c r="C54" s="202"/>
      <c r="D54" s="48">
        <f>+'balance 2022 antes impto andes'!H38</f>
        <v>2556000</v>
      </c>
      <c r="E54" s="49"/>
    </row>
    <row r="55" spans="1:6">
      <c r="A55" s="171"/>
      <c r="B55" s="37" t="s">
        <v>255</v>
      </c>
      <c r="C55" s="204"/>
      <c r="D55" s="48">
        <f>+'balance 2022 antes impto andes'!H34</f>
        <v>110000</v>
      </c>
      <c r="E55" s="49"/>
    </row>
    <row r="56" spans="1:6">
      <c r="A56" s="171"/>
      <c r="B56" s="37"/>
      <c r="C56" s="204" t="s">
        <v>16</v>
      </c>
      <c r="D56" s="48"/>
      <c r="E56" s="49">
        <f>+'balance 2022 antes impto andes'!G13</f>
        <v>11685000</v>
      </c>
    </row>
    <row r="57" spans="1:6">
      <c r="A57" s="171"/>
      <c r="B57" s="37"/>
      <c r="C57" s="204" t="s">
        <v>246</v>
      </c>
      <c r="D57" s="48"/>
      <c r="E57" s="49">
        <f>18854000-E56</f>
        <v>7169000</v>
      </c>
      <c r="F57" s="2" t="s">
        <v>364</v>
      </c>
    </row>
    <row r="58" spans="1:6">
      <c r="A58" s="171"/>
      <c r="B58" s="37"/>
      <c r="C58" s="204"/>
      <c r="D58" s="48"/>
      <c r="E58" s="48"/>
    </row>
    <row r="59" spans="1:6" ht="13.5" thickBot="1">
      <c r="A59" s="172"/>
      <c r="B59" s="827" t="s">
        <v>256</v>
      </c>
      <c r="C59" s="828"/>
      <c r="D59" s="828"/>
      <c r="E59" s="829"/>
    </row>
    <row r="60" spans="1:6">
      <c r="A60" s="167">
        <v>5</v>
      </c>
      <c r="B60" s="168" t="str">
        <f>+'balance 2022 antes impto andes'!B33</f>
        <v>IMPOSICIONES POR PAGAR</v>
      </c>
      <c r="C60" s="205"/>
      <c r="D60" s="169">
        <f>+'balance 2022 antes impto andes'!H33</f>
        <v>634800</v>
      </c>
      <c r="E60" s="170"/>
    </row>
    <row r="61" spans="1:6">
      <c r="A61" s="171"/>
      <c r="B61" s="37"/>
      <c r="C61" s="204" t="str">
        <f>+C57</f>
        <v xml:space="preserve">BANCO </v>
      </c>
      <c r="D61" s="48"/>
      <c r="E61" s="49">
        <f>+D60</f>
        <v>634800</v>
      </c>
      <c r="F61" s="2" t="s">
        <v>364</v>
      </c>
    </row>
    <row r="62" spans="1:6">
      <c r="A62" s="171"/>
      <c r="B62" s="37"/>
      <c r="C62" s="202"/>
      <c r="D62" s="48"/>
      <c r="E62" s="49"/>
    </row>
    <row r="63" spans="1:6" ht="13.5" thickBot="1">
      <c r="A63" s="172"/>
      <c r="B63" s="827" t="s">
        <v>257</v>
      </c>
      <c r="C63" s="828"/>
      <c r="D63" s="828"/>
      <c r="E63" s="829"/>
    </row>
    <row r="64" spans="1:6">
      <c r="A64" s="38">
        <v>6</v>
      </c>
      <c r="B64" s="37" t="s">
        <v>248</v>
      </c>
      <c r="C64" s="204"/>
      <c r="D64" s="48">
        <f>595000000-178500000</f>
        <v>416500000</v>
      </c>
      <c r="E64" s="49"/>
    </row>
    <row r="65" spans="1:10">
      <c r="A65" s="38"/>
      <c r="B65" s="37" t="s">
        <v>18</v>
      </c>
      <c r="C65" s="204"/>
      <c r="D65" s="48">
        <v>178500000</v>
      </c>
      <c r="E65" s="49"/>
      <c r="F65" s="2" t="s">
        <v>364</v>
      </c>
    </row>
    <row r="66" spans="1:10">
      <c r="A66" s="34"/>
      <c r="B66" s="29"/>
      <c r="C66" s="196" t="s">
        <v>76</v>
      </c>
      <c r="D66" s="45"/>
      <c r="E66" s="47">
        <v>500000000</v>
      </c>
    </row>
    <row r="67" spans="1:10">
      <c r="A67" s="34"/>
      <c r="B67" s="29"/>
      <c r="C67" s="196" t="s">
        <v>7</v>
      </c>
      <c r="D67" s="45"/>
      <c r="E67" s="47">
        <f>+E66*19%</f>
        <v>95000000</v>
      </c>
    </row>
    <row r="68" spans="1:10">
      <c r="A68" s="34"/>
      <c r="B68" s="29" t="s">
        <v>249</v>
      </c>
      <c r="C68" s="196"/>
      <c r="D68" s="45">
        <v>250000000</v>
      </c>
      <c r="E68" s="47"/>
    </row>
    <row r="69" spans="1:10">
      <c r="A69" s="34"/>
      <c r="B69" s="29"/>
      <c r="C69" s="200" t="s">
        <v>250</v>
      </c>
      <c r="D69" s="45"/>
      <c r="E69" s="47">
        <f>+D68</f>
        <v>250000000</v>
      </c>
    </row>
    <row r="70" spans="1:10" ht="15.75" customHeight="1" thickBot="1">
      <c r="A70" s="36"/>
      <c r="B70" s="827" t="s">
        <v>9</v>
      </c>
      <c r="C70" s="828"/>
      <c r="D70" s="828"/>
      <c r="E70" s="829"/>
    </row>
    <row r="71" spans="1:10" ht="15.75" customHeight="1">
      <c r="A71" s="167">
        <v>7</v>
      </c>
      <c r="B71" s="168" t="s">
        <v>7</v>
      </c>
      <c r="C71" s="203"/>
      <c r="D71" s="169">
        <f>+E67</f>
        <v>95000000</v>
      </c>
      <c r="E71" s="170"/>
    </row>
    <row r="72" spans="1:10" ht="15.75" customHeight="1">
      <c r="A72" s="171"/>
      <c r="B72" s="37" t="s">
        <v>258</v>
      </c>
      <c r="C72" s="202"/>
      <c r="D72" s="48">
        <f>+E66*1%</f>
        <v>5000000</v>
      </c>
      <c r="E72" s="49"/>
      <c r="F72" s="2" t="s">
        <v>407</v>
      </c>
    </row>
    <row r="73" spans="1:10" ht="15.75" customHeight="1">
      <c r="A73" s="171"/>
      <c r="B73" s="37"/>
      <c r="C73" s="204" t="s">
        <v>16</v>
      </c>
      <c r="D73" s="48"/>
      <c r="E73" s="49">
        <f>+D50</f>
        <v>1102000</v>
      </c>
    </row>
    <row r="74" spans="1:10" ht="15.75" customHeight="1">
      <c r="A74" s="171"/>
      <c r="B74" s="37"/>
      <c r="C74" s="204" t="s">
        <v>246</v>
      </c>
      <c r="D74" s="48"/>
      <c r="E74" s="49">
        <f>+D71+D72-E73</f>
        <v>98898000</v>
      </c>
      <c r="F74" s="2" t="s">
        <v>364</v>
      </c>
    </row>
    <row r="75" spans="1:10" ht="15.75" customHeight="1">
      <c r="A75" s="171"/>
      <c r="B75" s="37"/>
      <c r="C75" s="204"/>
      <c r="D75" s="48"/>
      <c r="E75" s="48"/>
    </row>
    <row r="76" spans="1:10" ht="15.75" customHeight="1" thickBot="1">
      <c r="A76" s="174"/>
      <c r="B76" s="837" t="s">
        <v>259</v>
      </c>
      <c r="C76" s="838"/>
      <c r="D76" s="838"/>
      <c r="E76" s="839"/>
    </row>
    <row r="77" spans="1:10" ht="15.75" customHeight="1">
      <c r="A77" s="167">
        <v>8</v>
      </c>
      <c r="B77" s="168" t="s">
        <v>260</v>
      </c>
      <c r="C77" s="205"/>
      <c r="D77" s="169">
        <v>100000000</v>
      </c>
      <c r="E77" s="170"/>
    </row>
    <row r="78" spans="1:10" ht="15.75" customHeight="1">
      <c r="A78" s="175"/>
      <c r="B78" s="29"/>
      <c r="C78" s="196" t="s">
        <v>99</v>
      </c>
      <c r="D78" s="45"/>
      <c r="E78" s="47">
        <f>+D77</f>
        <v>100000000</v>
      </c>
    </row>
    <row r="79" spans="1:10" ht="15.75" customHeight="1" thickBot="1">
      <c r="A79" s="176"/>
      <c r="B79" s="177" t="s">
        <v>261</v>
      </c>
      <c r="C79" s="206"/>
      <c r="D79" s="177"/>
      <c r="E79" s="178"/>
    </row>
    <row r="80" spans="1:10" ht="15.75" customHeight="1">
      <c r="A80" s="167">
        <v>9</v>
      </c>
      <c r="B80" s="168" t="str">
        <f>+C78</f>
        <v>OBLIGACIONES POR LEASING</v>
      </c>
      <c r="C80" s="205"/>
      <c r="D80" s="169">
        <f>SUM('leasing 2023'!E14:E23)</f>
        <v>23267787.557504077</v>
      </c>
      <c r="E80" s="170"/>
      <c r="G80" s="168" t="str">
        <f>+B80</f>
        <v>OBLIGACIONES POR LEASING</v>
      </c>
      <c r="H80" s="205"/>
      <c r="I80" s="169">
        <f>+'leasing 2023'!E14</f>
        <v>2193206.8694816185</v>
      </c>
      <c r="J80" s="170"/>
    </row>
    <row r="81" spans="1:10" ht="15.75" customHeight="1">
      <c r="A81" s="175"/>
      <c r="B81" s="29" t="s">
        <v>262</v>
      </c>
      <c r="C81" s="196"/>
      <c r="D81" s="45">
        <f>SUM('leasing 2023'!D14:D23)</f>
        <v>11732212.442495923</v>
      </c>
      <c r="E81" s="47"/>
      <c r="G81" s="29" t="s">
        <v>262</v>
      </c>
      <c r="H81" s="196"/>
      <c r="I81" s="45">
        <f>+'leasing 2023'!D14</f>
        <v>1306793.1305183813</v>
      </c>
      <c r="J81" s="47"/>
    </row>
    <row r="82" spans="1:10" ht="15.75" customHeight="1">
      <c r="A82" s="179"/>
      <c r="B82" s="180" t="s">
        <v>16</v>
      </c>
      <c r="C82" s="207"/>
      <c r="D82" s="181">
        <f>35000000*19%</f>
        <v>6650000</v>
      </c>
      <c r="E82" s="182"/>
      <c r="G82" s="180" t="s">
        <v>16</v>
      </c>
      <c r="H82" s="207"/>
      <c r="I82" s="181">
        <f>(I80+I81)*19%</f>
        <v>665000</v>
      </c>
      <c r="J82" s="182"/>
    </row>
    <row r="83" spans="1:10" ht="15.75" customHeight="1">
      <c r="A83" s="179"/>
      <c r="B83" s="180"/>
      <c r="C83" s="207" t="s">
        <v>246</v>
      </c>
      <c r="D83" s="181"/>
      <c r="E83" s="182">
        <f>SUM(D80:D82)</f>
        <v>41650000</v>
      </c>
      <c r="F83" s="2" t="s">
        <v>364</v>
      </c>
      <c r="G83" s="180"/>
      <c r="H83" s="207" t="s">
        <v>246</v>
      </c>
      <c r="I83" s="181"/>
      <c r="J83" s="182">
        <f>SUM(I80:I82)</f>
        <v>4165000</v>
      </c>
    </row>
    <row r="84" spans="1:10" ht="15.75" customHeight="1" thickBot="1">
      <c r="A84" s="176"/>
      <c r="B84" s="177" t="s">
        <v>263</v>
      </c>
      <c r="C84" s="206"/>
      <c r="D84" s="177"/>
      <c r="E84" s="178"/>
      <c r="G84" s="267" t="s">
        <v>408</v>
      </c>
      <c r="H84" s="206"/>
      <c r="I84" s="267"/>
      <c r="J84" s="268"/>
    </row>
    <row r="85" spans="1:10">
      <c r="A85" s="167">
        <v>10</v>
      </c>
      <c r="B85" s="168" t="s">
        <v>251</v>
      </c>
      <c r="C85" s="205"/>
      <c r="D85" s="169">
        <v>3600000</v>
      </c>
      <c r="E85" s="170"/>
    </row>
    <row r="86" spans="1:10">
      <c r="A86" s="171"/>
      <c r="B86" s="37" t="s">
        <v>16</v>
      </c>
      <c r="C86" s="204"/>
      <c r="D86" s="48">
        <f>+D85*19%</f>
        <v>684000</v>
      </c>
      <c r="E86" s="49"/>
    </row>
    <row r="87" spans="1:10" ht="13.5" thickBot="1">
      <c r="A87" s="179"/>
      <c r="B87" s="180"/>
      <c r="C87" s="207" t="s">
        <v>2</v>
      </c>
      <c r="D87" s="181"/>
      <c r="E87" s="182">
        <f>+D85+D86</f>
        <v>4284000</v>
      </c>
      <c r="F87" s="2" t="s">
        <v>364</v>
      </c>
    </row>
    <row r="88" spans="1:10" ht="15.75" customHeight="1" thickBot="1">
      <c r="A88" s="184"/>
      <c r="B88" s="830" t="s">
        <v>267</v>
      </c>
      <c r="C88" s="831"/>
      <c r="D88" s="831"/>
      <c r="E88" s="832"/>
    </row>
    <row r="89" spans="1:10" ht="15.75" customHeight="1">
      <c r="A89" s="171">
        <v>11</v>
      </c>
      <c r="B89" s="37" t="s">
        <v>264</v>
      </c>
      <c r="C89" s="204"/>
      <c r="D89" s="48">
        <f>+D85/12*8</f>
        <v>2400000</v>
      </c>
      <c r="E89" s="49"/>
    </row>
    <row r="90" spans="1:10" ht="15.75" customHeight="1">
      <c r="A90" s="175"/>
      <c r="B90" s="29"/>
      <c r="C90" s="196" t="s">
        <v>251</v>
      </c>
      <c r="D90" s="45"/>
      <c r="E90" s="47">
        <f>+D89</f>
        <v>2400000</v>
      </c>
    </row>
    <row r="91" spans="1:10" ht="15.75" customHeight="1" thickBot="1">
      <c r="A91" s="176"/>
      <c r="B91" s="835" t="s">
        <v>266</v>
      </c>
      <c r="C91" s="835"/>
      <c r="D91" s="835"/>
      <c r="E91" s="836"/>
    </row>
    <row r="92" spans="1:10" ht="15.75" customHeight="1">
      <c r="A92" s="173">
        <v>12</v>
      </c>
      <c r="B92" s="189" t="s">
        <v>2</v>
      </c>
      <c r="C92" s="208"/>
      <c r="D92" s="169">
        <f>+E93+E94</f>
        <v>10236720</v>
      </c>
      <c r="E92" s="170"/>
    </row>
    <row r="93" spans="1:10" ht="15.75" customHeight="1">
      <c r="A93" s="179"/>
      <c r="B93" s="188"/>
      <c r="C93" s="209" t="str">
        <f>+'balance 2022 antes impto andes'!B12</f>
        <v>PPMO</v>
      </c>
      <c r="D93" s="45"/>
      <c r="E93" s="47">
        <f>+'balance 2022 antes impto andes'!G12</f>
        <v>10036000</v>
      </c>
    </row>
    <row r="94" spans="1:10" ht="15.75" customHeight="1">
      <c r="A94" s="179"/>
      <c r="B94" s="188"/>
      <c r="C94" s="209" t="s">
        <v>84</v>
      </c>
      <c r="D94" s="45"/>
      <c r="E94" s="47">
        <f>+E93*2%</f>
        <v>200720</v>
      </c>
    </row>
    <row r="95" spans="1:10" ht="15.75" customHeight="1" thickBot="1">
      <c r="A95" s="176"/>
      <c r="B95" s="177" t="s">
        <v>281</v>
      </c>
      <c r="C95" s="206"/>
      <c r="D95" s="186"/>
      <c r="E95" s="187"/>
    </row>
    <row r="96" spans="1:10" ht="15.75" customHeight="1">
      <c r="A96" s="171">
        <v>13</v>
      </c>
      <c r="B96" s="37" t="s">
        <v>244</v>
      </c>
      <c r="C96" s="204"/>
      <c r="D96" s="48">
        <f>+E41*30%</f>
        <v>171950049.99999997</v>
      </c>
      <c r="E96" s="49"/>
    </row>
    <row r="97" spans="1:6" ht="15.75" customHeight="1">
      <c r="A97" s="171"/>
      <c r="B97" s="37"/>
      <c r="C97" s="204" t="s">
        <v>282</v>
      </c>
      <c r="D97" s="48"/>
      <c r="E97" s="49">
        <f>+D96</f>
        <v>171950049.99999997</v>
      </c>
    </row>
    <row r="98" spans="1:6" ht="15.75" customHeight="1" thickBot="1">
      <c r="A98" s="176"/>
      <c r="B98" s="835" t="s">
        <v>283</v>
      </c>
      <c r="C98" s="835"/>
      <c r="D98" s="835"/>
      <c r="E98" s="836"/>
    </row>
    <row r="99" spans="1:6" ht="15.75" customHeight="1">
      <c r="A99" s="171">
        <v>14</v>
      </c>
      <c r="B99" s="37" t="str">
        <f>+C97</f>
        <v>DIVIDENDOS POR PAGAR</v>
      </c>
      <c r="C99" s="204"/>
      <c r="D99" s="48">
        <f>+'balance 2022 antes impto andes'!G45</f>
        <v>25000000</v>
      </c>
      <c r="E99" s="49"/>
    </row>
    <row r="100" spans="1:6" ht="15.75" customHeight="1">
      <c r="A100" s="171"/>
      <c r="B100" s="37"/>
      <c r="C100" s="204" t="str">
        <f>+'balance 2022 antes impto andes'!B45</f>
        <v>DIVIDENDOS PROVISORIOS</v>
      </c>
      <c r="D100" s="48"/>
      <c r="E100" s="49">
        <f>+D99</f>
        <v>25000000</v>
      </c>
    </row>
    <row r="101" spans="1:6" ht="15.75" customHeight="1" thickBot="1">
      <c r="A101" s="176"/>
      <c r="B101" s="835" t="s">
        <v>284</v>
      </c>
      <c r="C101" s="835"/>
      <c r="D101" s="835"/>
      <c r="E101" s="836"/>
    </row>
    <row r="102" spans="1:6">
      <c r="A102" s="38">
        <v>15</v>
      </c>
      <c r="B102" s="37" t="s">
        <v>8</v>
      </c>
      <c r="C102" s="204"/>
      <c r="D102" s="48">
        <v>22000000</v>
      </c>
      <c r="E102" s="49"/>
    </row>
    <row r="103" spans="1:6">
      <c r="A103" s="34"/>
      <c r="B103" s="29" t="str">
        <f>+B50</f>
        <v>IVA CREDITO FISCAL</v>
      </c>
      <c r="C103" s="196"/>
      <c r="D103" s="45">
        <f>+D102*19%</f>
        <v>4180000</v>
      </c>
      <c r="E103" s="47"/>
    </row>
    <row r="104" spans="1:6">
      <c r="A104" s="34"/>
      <c r="B104" s="29"/>
      <c r="C104" s="196" t="s">
        <v>18</v>
      </c>
      <c r="D104" s="45"/>
      <c r="E104" s="47">
        <f>+D102+D103</f>
        <v>26180000</v>
      </c>
      <c r="F104" s="2" t="s">
        <v>364</v>
      </c>
    </row>
    <row r="105" spans="1:6" ht="15.75" customHeight="1" thickBot="1">
      <c r="A105" s="36"/>
      <c r="B105" s="827" t="s">
        <v>252</v>
      </c>
      <c r="C105" s="828"/>
      <c r="D105" s="828"/>
      <c r="E105" s="829"/>
    </row>
    <row r="106" spans="1:6">
      <c r="A106" s="34">
        <v>16</v>
      </c>
      <c r="B106" s="29" t="s">
        <v>253</v>
      </c>
      <c r="C106" s="196"/>
      <c r="D106" s="45">
        <v>280000</v>
      </c>
      <c r="E106" s="47"/>
    </row>
    <row r="107" spans="1:6">
      <c r="A107" s="34"/>
      <c r="B107" s="29" t="str">
        <f>+B103</f>
        <v>IVA CREDITO FISCAL</v>
      </c>
      <c r="C107" s="196"/>
      <c r="D107" s="45">
        <f>+D106*19%</f>
        <v>53200</v>
      </c>
      <c r="E107" s="47"/>
    </row>
    <row r="108" spans="1:6">
      <c r="A108" s="34"/>
      <c r="B108" s="29"/>
      <c r="C108" s="196" t="s">
        <v>2</v>
      </c>
      <c r="D108" s="45"/>
      <c r="E108" s="47">
        <f>+D106+D107</f>
        <v>333200</v>
      </c>
      <c r="F108" s="2" t="s">
        <v>364</v>
      </c>
    </row>
    <row r="109" spans="1:6" ht="15.75" customHeight="1" thickBot="1">
      <c r="A109" s="36"/>
      <c r="B109" s="827" t="s">
        <v>265</v>
      </c>
      <c r="C109" s="828"/>
      <c r="D109" s="828"/>
      <c r="E109" s="829"/>
    </row>
    <row r="110" spans="1:6">
      <c r="A110" s="167">
        <v>17</v>
      </c>
      <c r="B110" s="168" t="s">
        <v>18</v>
      </c>
      <c r="C110" s="205"/>
      <c r="D110" s="169">
        <f>+D64*60%</f>
        <v>249900000</v>
      </c>
      <c r="E110" s="170"/>
    </row>
    <row r="111" spans="1:6">
      <c r="A111" s="175"/>
      <c r="B111" s="29"/>
      <c r="C111" s="196" t="str">
        <f>+B64</f>
        <v>DEUDORES POR VENTAS</v>
      </c>
      <c r="D111" s="45"/>
      <c r="E111" s="47">
        <f>+D110</f>
        <v>249900000</v>
      </c>
      <c r="F111" s="2" t="s">
        <v>364</v>
      </c>
    </row>
    <row r="112" spans="1:6" ht="15.75" customHeight="1" thickBot="1">
      <c r="A112" s="176"/>
      <c r="B112" s="827" t="s">
        <v>268</v>
      </c>
      <c r="C112" s="828"/>
      <c r="D112" s="828"/>
      <c r="E112" s="829"/>
    </row>
    <row r="113" spans="1:6" ht="15.75" customHeight="1">
      <c r="A113" s="167">
        <v>18</v>
      </c>
      <c r="B113" s="168" t="s">
        <v>2</v>
      </c>
      <c r="C113" s="205"/>
      <c r="D113" s="169">
        <f>+E114</f>
        <v>5000000</v>
      </c>
      <c r="E113" s="170"/>
      <c r="F113" s="2" t="s">
        <v>364</v>
      </c>
    </row>
    <row r="114" spans="1:6" ht="15.75" customHeight="1" thickBot="1">
      <c r="A114" s="176"/>
      <c r="B114" s="185"/>
      <c r="C114" s="210" t="s">
        <v>269</v>
      </c>
      <c r="D114" s="186"/>
      <c r="E114" s="187">
        <f>1000000*5</f>
        <v>5000000</v>
      </c>
    </row>
    <row r="115" spans="1:6" ht="13.5" thickBot="1">
      <c r="A115" s="172"/>
      <c r="B115" s="842" t="s">
        <v>285</v>
      </c>
      <c r="C115" s="843"/>
      <c r="D115" s="843"/>
      <c r="E115" s="844"/>
    </row>
    <row r="116" spans="1:6">
      <c r="A116" s="38">
        <v>19</v>
      </c>
      <c r="B116" s="37" t="s">
        <v>264</v>
      </c>
      <c r="C116" s="204"/>
      <c r="D116" s="48">
        <f>350000*5</f>
        <v>1750000</v>
      </c>
      <c r="E116" s="49"/>
    </row>
    <row r="117" spans="1:6">
      <c r="A117" s="38"/>
      <c r="B117" s="37" t="s">
        <v>270</v>
      </c>
      <c r="C117" s="204"/>
      <c r="D117" s="48">
        <f>+D116*70%*19%</f>
        <v>232750</v>
      </c>
      <c r="E117" s="49"/>
    </row>
    <row r="118" spans="1:6">
      <c r="A118" s="34"/>
      <c r="B118" s="29"/>
      <c r="C118" s="196" t="s">
        <v>18</v>
      </c>
      <c r="D118" s="45"/>
      <c r="E118" s="47">
        <f>+D116+D117</f>
        <v>1982750</v>
      </c>
      <c r="F118" s="2" t="s">
        <v>364</v>
      </c>
    </row>
    <row r="119" spans="1:6" ht="15.75" customHeight="1" thickBot="1">
      <c r="A119" s="36"/>
      <c r="B119" s="835" t="s">
        <v>271</v>
      </c>
      <c r="C119" s="835"/>
      <c r="D119" s="835"/>
      <c r="E119" s="836"/>
    </row>
    <row r="120" spans="1:6">
      <c r="A120" s="167">
        <v>20</v>
      </c>
      <c r="B120" s="168" t="str">
        <f>+'balance 2022 antes impto andes'!B63</f>
        <v>DEPRECIACIÓN FINANCIERA DEL EJERCICIO</v>
      </c>
      <c r="C120" s="211"/>
      <c r="D120" s="190">
        <f>+'activo no corriente 2023'!I56</f>
        <v>1145833.3333333333</v>
      </c>
      <c r="E120" s="191"/>
    </row>
    <row r="121" spans="1:6">
      <c r="A121" s="175"/>
      <c r="B121" s="7"/>
      <c r="C121" s="196" t="str">
        <f>+'balance 2022 antes impto andes'!B24</f>
        <v>DEPRECIACIONES ACUMULADAS</v>
      </c>
      <c r="D121" s="45"/>
      <c r="E121" s="47">
        <f>+D120</f>
        <v>1145833.3333333333</v>
      </c>
    </row>
    <row r="122" spans="1:6" ht="15.75" customHeight="1" thickBot="1">
      <c r="A122" s="176"/>
      <c r="B122" s="827" t="s">
        <v>286</v>
      </c>
      <c r="C122" s="828"/>
      <c r="D122" s="828"/>
      <c r="E122" s="829"/>
    </row>
    <row r="123" spans="1:6" ht="15.75" customHeight="1">
      <c r="A123" s="167">
        <v>21</v>
      </c>
      <c r="B123" s="168" t="s">
        <v>18</v>
      </c>
      <c r="C123" s="198"/>
      <c r="D123" s="31">
        <f>+E124+E125</f>
        <v>21420000</v>
      </c>
      <c r="E123" s="278"/>
    </row>
    <row r="124" spans="1:6" ht="15.75" customHeight="1">
      <c r="A124" s="175"/>
      <c r="B124" s="28"/>
      <c r="C124" s="196" t="s">
        <v>411</v>
      </c>
      <c r="D124" s="45"/>
      <c r="E124" s="47">
        <v>18000000</v>
      </c>
    </row>
    <row r="125" spans="1:6" ht="15.75" customHeight="1">
      <c r="A125" s="175"/>
      <c r="B125" s="28"/>
      <c r="C125" s="196" t="s">
        <v>7</v>
      </c>
      <c r="D125" s="45"/>
      <c r="E125" s="47">
        <f>+E124*19%</f>
        <v>3420000</v>
      </c>
    </row>
    <row r="126" spans="1:6" ht="15.75" customHeight="1">
      <c r="A126" s="175"/>
      <c r="B126" s="845" t="s">
        <v>498</v>
      </c>
      <c r="C126" s="845"/>
      <c r="D126" s="845"/>
      <c r="E126" s="846"/>
    </row>
    <row r="127" spans="1:6" ht="15.75" customHeight="1" thickBot="1">
      <c r="A127" s="172"/>
      <c r="B127" s="269"/>
      <c r="C127" s="270"/>
      <c r="D127" s="270"/>
      <c r="E127" s="271"/>
    </row>
    <row r="128" spans="1:6" ht="15.75" customHeight="1">
      <c r="A128" s="167">
        <v>22</v>
      </c>
      <c r="B128" s="193" t="str">
        <f>+C121</f>
        <v>DEPRECIACIONES ACUMULADAS</v>
      </c>
      <c r="C128" s="212"/>
      <c r="D128" s="168">
        <f>+E121</f>
        <v>1145833.3333333333</v>
      </c>
      <c r="E128" s="194"/>
    </row>
    <row r="129" spans="1:11" ht="15.75" customHeight="1">
      <c r="A129" s="175"/>
      <c r="B129" s="192" t="str">
        <f>+'balance 2023 los andes antes im'!B74</f>
        <v>PERDIDA VENTA VEHICULO</v>
      </c>
      <c r="C129" s="213"/>
      <c r="D129" s="29">
        <f>+E130-D128</f>
        <v>20854166.666666668</v>
      </c>
      <c r="E129" s="195"/>
    </row>
    <row r="130" spans="1:11" ht="15.75" customHeight="1">
      <c r="A130" s="175"/>
      <c r="B130" s="192"/>
      <c r="C130" s="213" t="str">
        <f>+B102</f>
        <v>VEHICULO</v>
      </c>
      <c r="D130" s="29"/>
      <c r="E130" s="195">
        <f>+D102</f>
        <v>22000000</v>
      </c>
    </row>
    <row r="131" spans="1:11">
      <c r="A131" s="175"/>
      <c r="B131" s="29"/>
      <c r="C131" s="196"/>
      <c r="D131" s="45"/>
      <c r="E131" s="47"/>
    </row>
    <row r="132" spans="1:11" ht="13.5" thickBot="1">
      <c r="A132" s="176"/>
      <c r="B132" s="827" t="s">
        <v>499</v>
      </c>
      <c r="C132" s="828"/>
      <c r="D132" s="828"/>
      <c r="E132" s="829"/>
    </row>
    <row r="133" spans="1:11">
      <c r="A133" s="167">
        <v>23</v>
      </c>
      <c r="B133" s="168" t="s">
        <v>287</v>
      </c>
      <c r="C133" s="205"/>
      <c r="D133" s="169">
        <v>30000000</v>
      </c>
      <c r="E133" s="170"/>
      <c r="F133" s="2" t="s">
        <v>364</v>
      </c>
    </row>
    <row r="134" spans="1:11">
      <c r="A134" s="175"/>
      <c r="B134" s="29"/>
      <c r="C134" s="196" t="s">
        <v>18</v>
      </c>
      <c r="D134" s="45"/>
      <c r="E134" s="47">
        <f>+D133</f>
        <v>30000000</v>
      </c>
      <c r="F134" s="2" t="s">
        <v>364</v>
      </c>
    </row>
    <row r="135" spans="1:11" ht="15.75" customHeight="1" thickBot="1">
      <c r="A135" s="176"/>
      <c r="B135" s="827" t="s">
        <v>288</v>
      </c>
      <c r="C135" s="828"/>
      <c r="D135" s="828"/>
      <c r="E135" s="829"/>
    </row>
    <row r="136" spans="1:11">
      <c r="A136" s="167">
        <v>24</v>
      </c>
      <c r="B136" s="168" t="s">
        <v>289</v>
      </c>
      <c r="C136" s="205"/>
      <c r="D136" s="169">
        <v>12000000</v>
      </c>
      <c r="E136" s="170"/>
    </row>
    <row r="137" spans="1:11" ht="13.5" thickBot="1">
      <c r="A137" s="175"/>
      <c r="B137" s="180"/>
      <c r="C137" s="207" t="s">
        <v>18</v>
      </c>
      <c r="D137" s="181"/>
      <c r="E137" s="182">
        <f>+D136</f>
        <v>12000000</v>
      </c>
      <c r="F137" s="2" t="s">
        <v>364</v>
      </c>
    </row>
    <row r="138" spans="1:11" ht="13.5" thickBot="1">
      <c r="A138" s="176"/>
      <c r="B138" s="830" t="s">
        <v>290</v>
      </c>
      <c r="C138" s="831"/>
      <c r="D138" s="831"/>
      <c r="E138" s="832"/>
    </row>
    <row r="139" spans="1:11">
      <c r="A139" s="167"/>
      <c r="B139" s="168" t="s">
        <v>19</v>
      </c>
      <c r="C139" s="205"/>
      <c r="D139" s="169">
        <v>4000000</v>
      </c>
      <c r="E139" s="170"/>
    </row>
    <row r="140" spans="1:11">
      <c r="A140" s="175">
        <v>25</v>
      </c>
      <c r="B140" s="29"/>
      <c r="C140" s="196" t="str">
        <f>+B136</f>
        <v>ARRIENDO ANTICIPADO</v>
      </c>
      <c r="D140" s="45"/>
      <c r="E140" s="47">
        <f>+D139</f>
        <v>4000000</v>
      </c>
      <c r="H140" s="7"/>
      <c r="I140" s="7"/>
      <c r="J140" s="7"/>
      <c r="K140" s="7"/>
    </row>
    <row r="141" spans="1:11" ht="15.75" customHeight="1" thickBot="1">
      <c r="A141" s="176"/>
      <c r="B141" s="827" t="s">
        <v>291</v>
      </c>
      <c r="C141" s="828"/>
      <c r="D141" s="828"/>
      <c r="E141" s="829"/>
    </row>
    <row r="142" spans="1:11">
      <c r="A142" s="34">
        <v>26</v>
      </c>
      <c r="B142" s="29" t="s">
        <v>52</v>
      </c>
      <c r="C142" s="196"/>
      <c r="D142" s="45">
        <f>+E144/1.19</f>
        <v>210084033.6134454</v>
      </c>
      <c r="E142" s="47"/>
    </row>
    <row r="143" spans="1:11">
      <c r="A143" s="34"/>
      <c r="B143" s="29" t="s">
        <v>16</v>
      </c>
      <c r="C143" s="196"/>
      <c r="D143" s="45">
        <f>+D142*19%</f>
        <v>39915966.386554629</v>
      </c>
      <c r="E143" s="47"/>
    </row>
    <row r="144" spans="1:11">
      <c r="A144" s="34"/>
      <c r="B144" s="29"/>
      <c r="C144" s="196" t="s">
        <v>6</v>
      </c>
      <c r="D144" s="45"/>
      <c r="E144" s="47">
        <v>250000000</v>
      </c>
    </row>
    <row r="145" spans="1:6" ht="15.75" customHeight="1" thickBot="1">
      <c r="A145" s="36"/>
      <c r="B145" s="827" t="s">
        <v>292</v>
      </c>
      <c r="C145" s="828"/>
      <c r="D145" s="828"/>
      <c r="E145" s="829"/>
    </row>
    <row r="146" spans="1:6">
      <c r="A146" s="38"/>
      <c r="B146" s="37" t="s">
        <v>18</v>
      </c>
      <c r="C146" s="204"/>
      <c r="D146" s="48">
        <f>+E147+E148</f>
        <v>55200000</v>
      </c>
      <c r="E146" s="49"/>
      <c r="F146" s="2" t="s">
        <v>364</v>
      </c>
    </row>
    <row r="147" spans="1:6">
      <c r="A147" s="34">
        <v>27</v>
      </c>
      <c r="B147" s="29"/>
      <c r="C147" s="196" t="str">
        <f>+'balance 2022 antes impto andes'!B7</f>
        <v>DEPÓSITOS A PLAZO</v>
      </c>
      <c r="D147" s="45"/>
      <c r="E147" s="47">
        <f>+'balance 2022 antes impto andes'!E7</f>
        <v>50000000</v>
      </c>
    </row>
    <row r="148" spans="1:6">
      <c r="A148" s="34"/>
      <c r="B148" s="29"/>
      <c r="C148" s="196" t="s">
        <v>20</v>
      </c>
      <c r="D148" s="45"/>
      <c r="E148" s="47">
        <v>5200000</v>
      </c>
    </row>
    <row r="149" spans="1:6" ht="15.75" customHeight="1" thickBot="1">
      <c r="A149" s="36"/>
      <c r="B149" s="827" t="s">
        <v>293</v>
      </c>
      <c r="C149" s="828"/>
      <c r="D149" s="828"/>
      <c r="E149" s="829"/>
    </row>
    <row r="150" spans="1:6">
      <c r="A150" s="38"/>
      <c r="B150" s="37" t="str">
        <f>+'balance 2022 antes impto andes'!B47</f>
        <v>REMUNERACIONES</v>
      </c>
      <c r="C150" s="204"/>
      <c r="D150" s="48">
        <f>+'provision vacaciones dos años '!G28</f>
        <v>34680000</v>
      </c>
      <c r="E150" s="49"/>
    </row>
    <row r="151" spans="1:6">
      <c r="A151" s="34">
        <v>28</v>
      </c>
      <c r="B151" s="29" t="str">
        <f>+'balance 2022 antes impto andes'!B48</f>
        <v>APORTE EMPRESA</v>
      </c>
      <c r="C151" s="196"/>
      <c r="D151" s="45">
        <f>+'provision vacaciones dos años '!G29</f>
        <v>1734000</v>
      </c>
      <c r="E151" s="47"/>
    </row>
    <row r="152" spans="1:6">
      <c r="A152" s="34"/>
      <c r="B152" s="29"/>
      <c r="C152" s="196" t="str">
        <f>+'balance 2022 antes impto andes'!B33</f>
        <v>IMPOSICIONES POR PAGAR</v>
      </c>
      <c r="D152" s="45"/>
      <c r="E152" s="47">
        <f>+'provision vacaciones dos años '!H30</f>
        <v>8323200</v>
      </c>
    </row>
    <row r="153" spans="1:6">
      <c r="A153" s="34"/>
      <c r="B153" s="29"/>
      <c r="C153" s="196" t="str">
        <f>+'balance 2023 los andes antes im'!B35</f>
        <v>REMUNERACIONES POR PAGAR</v>
      </c>
      <c r="D153" s="45"/>
      <c r="E153" s="47">
        <f>+D150+D151-E152</f>
        <v>28090800</v>
      </c>
    </row>
    <row r="154" spans="1:6" ht="15.75" customHeight="1" thickBot="1">
      <c r="A154" s="36"/>
      <c r="B154" s="827" t="s">
        <v>294</v>
      </c>
      <c r="C154" s="828"/>
      <c r="D154" s="828"/>
      <c r="E154" s="829"/>
    </row>
    <row r="155" spans="1:6">
      <c r="A155" s="38"/>
      <c r="B155" s="37"/>
      <c r="C155" s="204"/>
      <c r="D155" s="48"/>
      <c r="E155" s="49"/>
    </row>
    <row r="156" spans="1:6">
      <c r="A156" s="34">
        <v>29</v>
      </c>
      <c r="B156" s="29" t="str">
        <f>+'balance 2022 antes impto andes'!B39</f>
        <v>PROVISIÓN VACACIONES</v>
      </c>
      <c r="C156" s="196"/>
      <c r="D156" s="45">
        <f>+'provision vacaciones dos años '!G33</f>
        <v>950499.99999999988</v>
      </c>
      <c r="E156" s="47"/>
    </row>
    <row r="157" spans="1:6">
      <c r="A157" s="34"/>
      <c r="B157" s="29"/>
      <c r="C157" s="196" t="str">
        <f>+B150</f>
        <v>REMUNERACIONES</v>
      </c>
      <c r="D157" s="45"/>
      <c r="E157" s="47">
        <f>+D156</f>
        <v>950499.99999999988</v>
      </c>
    </row>
    <row r="158" spans="1:6" ht="15.75" customHeight="1" thickBot="1">
      <c r="A158" s="36"/>
      <c r="B158" s="827" t="s">
        <v>295</v>
      </c>
      <c r="C158" s="828"/>
      <c r="D158" s="828"/>
      <c r="E158" s="829"/>
    </row>
    <row r="159" spans="1:6">
      <c r="A159" s="34">
        <v>30</v>
      </c>
      <c r="B159" s="29" t="str">
        <f>+C153</f>
        <v>REMUNERACIONES POR PAGAR</v>
      </c>
      <c r="C159" s="196"/>
      <c r="D159" s="45">
        <f>+E153</f>
        <v>28090800</v>
      </c>
      <c r="E159" s="47"/>
    </row>
    <row r="160" spans="1:6">
      <c r="A160" s="34"/>
      <c r="B160" s="29" t="str">
        <f>+C152</f>
        <v>IMPOSICIONES POR PAGAR</v>
      </c>
      <c r="C160" s="196"/>
      <c r="D160" s="45">
        <v>6325632</v>
      </c>
      <c r="E160" s="47"/>
    </row>
    <row r="161" spans="1:8">
      <c r="A161" s="34"/>
      <c r="B161" s="29"/>
      <c r="C161" s="200" t="s">
        <v>18</v>
      </c>
      <c r="D161" s="50"/>
      <c r="E161" s="51">
        <f>+D159+D160</f>
        <v>34416432</v>
      </c>
      <c r="F161" s="2" t="s">
        <v>364</v>
      </c>
    </row>
    <row r="162" spans="1:8" ht="15.75" customHeight="1" thickBot="1">
      <c r="A162" s="36"/>
      <c r="B162" s="827" t="s">
        <v>296</v>
      </c>
      <c r="C162" s="828"/>
      <c r="D162" s="828"/>
      <c r="E162" s="829"/>
    </row>
    <row r="163" spans="1:8">
      <c r="A163" s="38"/>
      <c r="B163" s="37" t="s">
        <v>18</v>
      </c>
      <c r="C163" s="204"/>
      <c r="D163" s="48">
        <f>+E164+E165</f>
        <v>1190000</v>
      </c>
      <c r="E163" s="49"/>
      <c r="F163" s="2" t="s">
        <v>380</v>
      </c>
    </row>
    <row r="164" spans="1:8">
      <c r="A164" s="35">
        <v>31</v>
      </c>
      <c r="B164" s="29"/>
      <c r="C164" s="196" t="s">
        <v>95</v>
      </c>
      <c r="D164" s="45"/>
      <c r="E164" s="47">
        <v>1000000</v>
      </c>
    </row>
    <row r="165" spans="1:8">
      <c r="A165" s="35"/>
      <c r="B165" s="29"/>
      <c r="C165" s="196" t="s">
        <v>60</v>
      </c>
      <c r="D165" s="45"/>
      <c r="E165" s="47">
        <f>+E164*19%</f>
        <v>190000</v>
      </c>
    </row>
    <row r="166" spans="1:8" ht="15.75" customHeight="1" thickBot="1">
      <c r="A166" s="39"/>
      <c r="B166" s="827" t="s">
        <v>297</v>
      </c>
      <c r="C166" s="828"/>
      <c r="D166" s="828"/>
      <c r="E166" s="829"/>
    </row>
    <row r="167" spans="1:8">
      <c r="A167" s="167">
        <v>32</v>
      </c>
      <c r="B167" s="168" t="s">
        <v>89</v>
      </c>
      <c r="C167" s="205"/>
      <c r="D167" s="169">
        <f>334234033*3.5%</f>
        <v>11698191.155000001</v>
      </c>
      <c r="E167" s="170"/>
    </row>
    <row r="168" spans="1:8">
      <c r="A168" s="175"/>
      <c r="B168" s="29"/>
      <c r="C168" s="196" t="s">
        <v>250</v>
      </c>
      <c r="D168" s="45"/>
      <c r="E168" s="47">
        <f>+D167</f>
        <v>11698191.155000001</v>
      </c>
    </row>
    <row r="169" spans="1:8" ht="15.75" customHeight="1" thickBot="1">
      <c r="A169" s="176"/>
      <c r="B169" s="827" t="s">
        <v>792</v>
      </c>
      <c r="C169" s="828"/>
      <c r="D169" s="828"/>
      <c r="E169" s="829"/>
    </row>
    <row r="170" spans="1:8">
      <c r="A170" s="40"/>
      <c r="B170" s="37"/>
      <c r="C170" s="204"/>
      <c r="D170" s="48"/>
      <c r="E170" s="49"/>
      <c r="H170" s="8"/>
    </row>
    <row r="171" spans="1:8">
      <c r="A171" s="35">
        <v>33</v>
      </c>
      <c r="B171" s="29" t="s">
        <v>21</v>
      </c>
      <c r="C171" s="196"/>
      <c r="D171" s="45">
        <v>850000</v>
      </c>
      <c r="E171" s="47"/>
    </row>
    <row r="172" spans="1:8">
      <c r="A172" s="35"/>
      <c r="B172" s="29"/>
      <c r="C172" s="196" t="s">
        <v>250</v>
      </c>
      <c r="D172" s="45"/>
      <c r="E172" s="47">
        <f>+D171</f>
        <v>850000</v>
      </c>
    </row>
    <row r="173" spans="1:8" ht="15.75" customHeight="1" thickBot="1">
      <c r="A173" s="39"/>
      <c r="B173" s="827" t="s">
        <v>793</v>
      </c>
      <c r="C173" s="828"/>
      <c r="D173" s="828"/>
      <c r="E173" s="829"/>
    </row>
    <row r="174" spans="1:8">
      <c r="A174" s="38"/>
      <c r="B174" s="37"/>
      <c r="C174" s="204"/>
      <c r="D174" s="48"/>
      <c r="E174" s="49"/>
    </row>
    <row r="175" spans="1:8">
      <c r="A175" s="34">
        <v>34</v>
      </c>
      <c r="B175" s="29" t="str">
        <f>+'balance 2022 antes impto andes'!B57</f>
        <v>GASTOS DEUDORES INCOBRABLES</v>
      </c>
      <c r="C175" s="196"/>
      <c r="D175" s="45">
        <f>309600000*2.5%</f>
        <v>7740000</v>
      </c>
      <c r="E175" s="47"/>
    </row>
    <row r="176" spans="1:8">
      <c r="A176" s="34"/>
      <c r="B176" s="29"/>
      <c r="C176" s="196" t="str">
        <f>+'balance 2023 los andes antes im'!B10</f>
        <v>ESTIMACIÓN DEUDORES INCOBRABLES</v>
      </c>
      <c r="D176" s="45"/>
      <c r="E176" s="47">
        <f>+D175</f>
        <v>7740000</v>
      </c>
    </row>
    <row r="177" spans="1:6">
      <c r="A177" s="34"/>
      <c r="B177" s="29"/>
      <c r="C177" s="200"/>
      <c r="D177" s="50"/>
      <c r="E177" s="51"/>
    </row>
    <row r="178" spans="1:6" ht="15.75" customHeight="1" thickBot="1">
      <c r="A178" s="36"/>
      <c r="B178" s="827" t="s">
        <v>298</v>
      </c>
      <c r="C178" s="828"/>
      <c r="D178" s="828"/>
      <c r="E178" s="829"/>
    </row>
    <row r="179" spans="1:6" ht="15.75" customHeight="1">
      <c r="A179" s="38"/>
      <c r="B179" s="37"/>
      <c r="C179" s="204"/>
      <c r="D179" s="48"/>
      <c r="E179" s="49"/>
    </row>
    <row r="180" spans="1:6" ht="15.75" customHeight="1">
      <c r="A180" s="34">
        <v>35</v>
      </c>
      <c r="B180" s="58" t="s">
        <v>102</v>
      </c>
      <c r="C180" s="196"/>
      <c r="D180" s="45">
        <v>790000</v>
      </c>
      <c r="E180" s="47"/>
    </row>
    <row r="181" spans="1:6" ht="15.75" customHeight="1">
      <c r="A181" s="34"/>
      <c r="B181" s="29"/>
      <c r="C181" s="196" t="str">
        <f>+'balance 2023 los andes antes im'!B41</f>
        <v>PROVISIÓN DE INSUMOS  GENERALES</v>
      </c>
      <c r="D181" s="45"/>
      <c r="E181" s="47">
        <f>+D180</f>
        <v>790000</v>
      </c>
    </row>
    <row r="182" spans="1:6" ht="15.75" customHeight="1" thickBot="1">
      <c r="A182" s="36"/>
      <c r="B182" s="827" t="s">
        <v>298</v>
      </c>
      <c r="C182" s="828"/>
      <c r="D182" s="828"/>
      <c r="E182" s="829"/>
    </row>
    <row r="183" spans="1:6">
      <c r="A183" s="34">
        <v>36</v>
      </c>
      <c r="B183" s="29" t="s">
        <v>299</v>
      </c>
      <c r="C183" s="196"/>
      <c r="D183" s="45">
        <f>+'balance 2022 antes impto andes'!H27/2</f>
        <v>21400000</v>
      </c>
      <c r="E183" s="47"/>
    </row>
    <row r="184" spans="1:6">
      <c r="A184" s="34"/>
      <c r="B184" s="29" t="s">
        <v>300</v>
      </c>
      <c r="C184" s="196"/>
      <c r="D184" s="45">
        <v>5600000</v>
      </c>
      <c r="E184" s="47"/>
    </row>
    <row r="185" spans="1:6">
      <c r="A185" s="34"/>
      <c r="B185" s="29"/>
      <c r="C185" s="200" t="s">
        <v>18</v>
      </c>
      <c r="D185" s="50"/>
      <c r="E185" s="51">
        <f>+D183+D184</f>
        <v>27000000</v>
      </c>
      <c r="F185" s="2" t="s">
        <v>364</v>
      </c>
    </row>
    <row r="186" spans="1:6" ht="15.75" customHeight="1" thickBot="1">
      <c r="A186" s="36"/>
      <c r="B186" s="827" t="s">
        <v>301</v>
      </c>
      <c r="C186" s="828"/>
      <c r="D186" s="828"/>
      <c r="E186" s="829"/>
    </row>
    <row r="187" spans="1:6" ht="15.75" customHeight="1">
      <c r="A187" s="34">
        <v>37</v>
      </c>
      <c r="B187" s="29" t="s">
        <v>6</v>
      </c>
      <c r="C187" s="196"/>
      <c r="D187" s="45">
        <f>+E144*30%</f>
        <v>75000000</v>
      </c>
      <c r="E187" s="47"/>
    </row>
    <row r="188" spans="1:6" ht="15.75" customHeight="1">
      <c r="A188" s="34"/>
      <c r="B188" s="29"/>
      <c r="C188" s="200" t="s">
        <v>18</v>
      </c>
      <c r="D188" s="50"/>
      <c r="E188" s="51">
        <f>+D187</f>
        <v>75000000</v>
      </c>
      <c r="F188" s="2" t="s">
        <v>364</v>
      </c>
    </row>
    <row r="189" spans="1:6" ht="15.75" customHeight="1" thickBot="1">
      <c r="A189" s="36"/>
      <c r="B189" s="827" t="s">
        <v>302</v>
      </c>
      <c r="C189" s="828"/>
      <c r="D189" s="828"/>
      <c r="E189" s="829"/>
    </row>
    <row r="190" spans="1:6" ht="15.75" customHeight="1">
      <c r="A190" s="38">
        <v>38</v>
      </c>
      <c r="B190" s="37" t="s">
        <v>303</v>
      </c>
      <c r="C190" s="204"/>
      <c r="D190" s="48">
        <v>2000000</v>
      </c>
      <c r="E190" s="49"/>
    </row>
    <row r="191" spans="1:6" ht="15.75" customHeight="1">
      <c r="A191" s="38"/>
      <c r="B191" s="37" t="s">
        <v>304</v>
      </c>
      <c r="C191" s="204"/>
      <c r="D191" s="48">
        <f>+D190*19%</f>
        <v>380000</v>
      </c>
      <c r="E191" s="49"/>
    </row>
    <row r="192" spans="1:6" ht="15.75" customHeight="1">
      <c r="A192" s="38"/>
      <c r="B192" s="37"/>
      <c r="C192" s="204" t="s">
        <v>306</v>
      </c>
      <c r="D192" s="48"/>
      <c r="E192" s="49">
        <f>2380000/2</f>
        <v>1190000</v>
      </c>
    </row>
    <row r="193" spans="1:7" ht="15.75" customHeight="1">
      <c r="A193" s="34"/>
      <c r="B193" s="29"/>
      <c r="C193" s="196" t="s">
        <v>18</v>
      </c>
      <c r="D193" s="45"/>
      <c r="E193" s="47">
        <f>+E192</f>
        <v>1190000</v>
      </c>
      <c r="F193" s="2" t="s">
        <v>364</v>
      </c>
    </row>
    <row r="194" spans="1:7" ht="15.75" customHeight="1" thickBot="1">
      <c r="A194" s="155"/>
      <c r="B194" s="833" t="s">
        <v>305</v>
      </c>
      <c r="C194" s="833"/>
      <c r="D194" s="833"/>
      <c r="E194" s="834"/>
    </row>
    <row r="195" spans="1:7" ht="15.75" customHeight="1">
      <c r="A195" s="173">
        <v>39</v>
      </c>
      <c r="B195" s="581" t="s">
        <v>2</v>
      </c>
      <c r="C195" s="205"/>
      <c r="D195" s="169">
        <f>+'balance YYY SAC 2023 '!G6</f>
        <v>18841919</v>
      </c>
      <c r="E195" s="170"/>
      <c r="F195" s="2" t="s">
        <v>364</v>
      </c>
    </row>
    <row r="196" spans="1:7" ht="15.75" customHeight="1">
      <c r="A196" s="174"/>
      <c r="B196" s="577" t="s">
        <v>52</v>
      </c>
      <c r="C196" s="196"/>
      <c r="D196" s="45">
        <f>+'balance YYY SAC 2023 '!G8</f>
        <v>9424800</v>
      </c>
      <c r="E196" s="47"/>
    </row>
    <row r="197" spans="1:7" ht="15.75" customHeight="1">
      <c r="A197" s="174"/>
      <c r="B197" s="577" t="s">
        <v>88</v>
      </c>
      <c r="C197" s="196"/>
      <c r="D197" s="45">
        <f>+'balance YYY SAC 2023 '!G10</f>
        <v>14033614</v>
      </c>
      <c r="E197" s="47"/>
      <c r="G197" s="725" t="s">
        <v>791</v>
      </c>
    </row>
    <row r="198" spans="1:7" ht="15.75" customHeight="1">
      <c r="A198" s="174"/>
      <c r="B198" s="726" t="s">
        <v>258</v>
      </c>
      <c r="C198" s="727"/>
      <c r="D198" s="723">
        <f>+'balance YYY SAC 2023 '!G12</f>
        <v>1573577</v>
      </c>
      <c r="E198" s="47"/>
    </row>
    <row r="199" spans="1:7" ht="15.75" customHeight="1">
      <c r="A199" s="174"/>
      <c r="B199" s="577" t="s">
        <v>213</v>
      </c>
      <c r="C199" s="196"/>
      <c r="D199" s="45">
        <f>+'balance YYY SAC 2023 '!G14</f>
        <v>12825000</v>
      </c>
      <c r="E199" s="47"/>
    </row>
    <row r="200" spans="1:7" ht="15.75" customHeight="1">
      <c r="A200" s="174"/>
      <c r="B200" s="151" t="str">
        <f>+'balance 2023 los andes antes im'!B29</f>
        <v xml:space="preserve">ACTIVO INTANGIBLE POR GOODWILL </v>
      </c>
      <c r="C200" s="196"/>
      <c r="D200" s="45">
        <f>+'fusion impropia 2023'!C21</f>
        <v>24896397</v>
      </c>
      <c r="E200" s="47"/>
    </row>
    <row r="201" spans="1:7" ht="15.75" customHeight="1">
      <c r="A201" s="174"/>
      <c r="B201" s="29"/>
      <c r="C201" s="152" t="s">
        <v>215</v>
      </c>
      <c r="D201" s="45"/>
      <c r="E201" s="47">
        <f>+'balance YYY SAC 2023 '!H11</f>
        <v>1534927</v>
      </c>
    </row>
    <row r="202" spans="1:7" ht="15.75" customHeight="1">
      <c r="A202" s="174"/>
      <c r="B202" s="29"/>
      <c r="C202" s="578" t="s">
        <v>6</v>
      </c>
      <c r="D202" s="45"/>
      <c r="E202" s="47">
        <f>+'balance YYY SAC 2023 '!H15</f>
        <v>18416974</v>
      </c>
    </row>
    <row r="203" spans="1:7" ht="15.75" customHeight="1">
      <c r="A203" s="174"/>
      <c r="B203" s="29"/>
      <c r="C203" s="722" t="s">
        <v>7</v>
      </c>
      <c r="D203" s="723"/>
      <c r="E203" s="724">
        <f>+'balance YYY SAC 2023 '!H16</f>
        <v>127694</v>
      </c>
    </row>
    <row r="204" spans="1:7" ht="15.75" customHeight="1">
      <c r="A204" s="174"/>
      <c r="B204" s="29"/>
      <c r="C204" s="722" t="s">
        <v>633</v>
      </c>
      <c r="D204" s="723"/>
      <c r="E204" s="724">
        <f>+'balance YYY SAC 2023 '!H17</f>
        <v>103756</v>
      </c>
    </row>
    <row r="205" spans="1:7" ht="15.75" customHeight="1">
      <c r="A205" s="174"/>
      <c r="B205" s="29"/>
      <c r="C205" s="578" t="s">
        <v>634</v>
      </c>
      <c r="D205" s="45"/>
      <c r="E205" s="47">
        <f>+'balance YYY SAC 2023 '!H18</f>
        <v>33411956</v>
      </c>
    </row>
    <row r="206" spans="1:7" ht="15.75" customHeight="1">
      <c r="A206" s="174"/>
      <c r="B206" s="29"/>
      <c r="C206" s="152" t="str">
        <f>+'balance 2023 los andes antes im'!B17</f>
        <v>ACCIONES EN YYY SAC</v>
      </c>
      <c r="D206" s="45"/>
      <c r="E206" s="47">
        <v>16000000</v>
      </c>
    </row>
    <row r="207" spans="1:7" ht="15.75" customHeight="1">
      <c r="A207" s="174"/>
      <c r="B207" s="29"/>
      <c r="C207" s="152" t="s">
        <v>18</v>
      </c>
      <c r="D207" s="45"/>
      <c r="E207" s="47">
        <v>12000000</v>
      </c>
      <c r="F207" s="2" t="s">
        <v>364</v>
      </c>
    </row>
    <row r="208" spans="1:7" ht="15.75" customHeight="1">
      <c r="A208" s="174"/>
      <c r="B208" s="29"/>
      <c r="C208" s="196"/>
      <c r="D208" s="45"/>
      <c r="E208" s="47"/>
    </row>
    <row r="209" spans="1:5" ht="15.75" customHeight="1" thickBot="1">
      <c r="A209" s="172"/>
      <c r="B209" s="835" t="s">
        <v>307</v>
      </c>
      <c r="C209" s="835"/>
      <c r="D209" s="835"/>
      <c r="E209" s="836"/>
    </row>
    <row r="210" spans="1:5" ht="15.75" customHeight="1">
      <c r="A210" s="167">
        <v>40</v>
      </c>
      <c r="B210" s="168" t="s">
        <v>18</v>
      </c>
      <c r="C210" s="205"/>
      <c r="D210" s="169">
        <v>130000000</v>
      </c>
      <c r="E210" s="170"/>
    </row>
    <row r="211" spans="1:5" ht="15.75" customHeight="1">
      <c r="A211" s="175"/>
      <c r="B211" s="29"/>
      <c r="C211" s="196" t="str">
        <f>+'balance 2023 los andes antes im'!B9</f>
        <v xml:space="preserve">DEUDORES POR VENTAS </v>
      </c>
      <c r="D211" s="45"/>
      <c r="E211" s="47">
        <f>+D210</f>
        <v>130000000</v>
      </c>
    </row>
    <row r="212" spans="1:5" ht="15.75" customHeight="1" thickBot="1">
      <c r="A212" s="176"/>
      <c r="B212" s="827" t="s">
        <v>676</v>
      </c>
      <c r="C212" s="828"/>
      <c r="D212" s="828"/>
      <c r="E212" s="829"/>
    </row>
    <row r="213" spans="1:5" ht="15.75" customHeight="1">
      <c r="A213" s="34">
        <v>41</v>
      </c>
      <c r="B213" s="29" t="s">
        <v>6</v>
      </c>
      <c r="C213" s="196"/>
      <c r="D213" s="45">
        <f>+'balance 2022 final los andes '!H33</f>
        <v>187410000</v>
      </c>
      <c r="E213" s="47"/>
    </row>
    <row r="214" spans="1:5" ht="15.75" customHeight="1">
      <c r="A214" s="34"/>
      <c r="B214" s="29"/>
      <c r="C214" s="200" t="s">
        <v>18</v>
      </c>
      <c r="D214" s="50"/>
      <c r="E214" s="51">
        <f>+D213</f>
        <v>187410000</v>
      </c>
    </row>
    <row r="215" spans="1:5" ht="15.75" customHeight="1" thickBot="1">
      <c r="A215" s="36"/>
      <c r="B215" s="827" t="s">
        <v>677</v>
      </c>
      <c r="C215" s="828"/>
      <c r="D215" s="828"/>
      <c r="E215" s="829"/>
    </row>
    <row r="216" spans="1:5" ht="15.75" customHeight="1">
      <c r="A216" s="167">
        <v>42</v>
      </c>
      <c r="B216" s="168" t="s">
        <v>7</v>
      </c>
      <c r="C216" s="203"/>
      <c r="D216" s="169">
        <f>+E125</f>
        <v>3420000</v>
      </c>
      <c r="E216" s="170"/>
    </row>
    <row r="217" spans="1:5" ht="15.75" customHeight="1">
      <c r="A217" s="171"/>
      <c r="B217" s="37" t="s">
        <v>258</v>
      </c>
      <c r="C217" s="202"/>
      <c r="D217" s="48">
        <f>+E124*1%</f>
        <v>180000</v>
      </c>
      <c r="E217" s="49"/>
    </row>
    <row r="218" spans="1:5" ht="15.75" customHeight="1">
      <c r="A218" s="171"/>
      <c r="B218" s="37"/>
      <c r="C218" s="204" t="s">
        <v>16</v>
      </c>
      <c r="D218" s="48"/>
      <c r="E218" s="49">
        <f>+D216</f>
        <v>3420000</v>
      </c>
    </row>
    <row r="219" spans="1:5" ht="15.75" customHeight="1">
      <c r="A219" s="171"/>
      <c r="B219" s="37"/>
      <c r="C219" s="204" t="s">
        <v>2</v>
      </c>
      <c r="D219" s="48"/>
      <c r="E219" s="49">
        <f>+D216+D217-E218</f>
        <v>180000</v>
      </c>
    </row>
    <row r="220" spans="1:5" ht="15.75" customHeight="1" thickBot="1">
      <c r="A220" s="174"/>
      <c r="B220" s="837" t="s">
        <v>678</v>
      </c>
      <c r="C220" s="838"/>
      <c r="D220" s="838"/>
      <c r="E220" s="839"/>
    </row>
    <row r="221" spans="1:5" ht="15.75" customHeight="1">
      <c r="A221" s="167">
        <v>43</v>
      </c>
      <c r="B221" s="168" t="s">
        <v>110</v>
      </c>
      <c r="C221" s="203"/>
      <c r="D221" s="169">
        <v>100000</v>
      </c>
      <c r="E221" s="170"/>
    </row>
    <row r="222" spans="1:5" ht="15.75" customHeight="1">
      <c r="A222" s="171"/>
      <c r="B222" s="37"/>
      <c r="C222" s="204" t="s">
        <v>679</v>
      </c>
      <c r="D222" s="48">
        <f>+E217*1%</f>
        <v>0</v>
      </c>
      <c r="E222" s="49">
        <f>+D221</f>
        <v>100000</v>
      </c>
    </row>
    <row r="223" spans="1:5" ht="15.75" customHeight="1" thickBot="1">
      <c r="A223" s="172"/>
      <c r="B223" s="827" t="s">
        <v>680</v>
      </c>
      <c r="C223" s="828"/>
      <c r="D223" s="828"/>
      <c r="E223" s="829"/>
    </row>
    <row r="224" spans="1:5" ht="15.75" customHeight="1">
      <c r="A224" s="171">
        <v>44</v>
      </c>
      <c r="B224" s="37" t="str">
        <f>+'balance 2023 los andes antes im'!B38</f>
        <v>DIVIDENDOS POR PAGAR</v>
      </c>
      <c r="C224" s="204"/>
      <c r="D224" s="48">
        <v>100000000</v>
      </c>
      <c r="E224" s="49"/>
    </row>
    <row r="225" spans="1:5" ht="15.75" customHeight="1">
      <c r="A225" s="171"/>
      <c r="B225" s="37"/>
      <c r="C225" s="204" t="s">
        <v>18</v>
      </c>
      <c r="D225" s="48"/>
      <c r="E225" s="49">
        <f>+D224</f>
        <v>100000000</v>
      </c>
    </row>
    <row r="226" spans="1:5" ht="15.75" customHeight="1" thickBot="1">
      <c r="A226" s="176"/>
      <c r="B226" s="835" t="s">
        <v>689</v>
      </c>
      <c r="C226" s="835"/>
      <c r="D226" s="835"/>
      <c r="E226" s="836"/>
    </row>
    <row r="227" spans="1:5" ht="15.75" customHeight="1">
      <c r="A227" s="171">
        <v>45</v>
      </c>
      <c r="B227" s="37" t="s">
        <v>18</v>
      </c>
      <c r="C227" s="204"/>
      <c r="D227" s="48">
        <v>60000000</v>
      </c>
      <c r="E227" s="49"/>
    </row>
    <row r="228" spans="1:5" ht="15.75" customHeight="1">
      <c r="A228" s="171"/>
      <c r="B228" s="37"/>
      <c r="C228" s="204" t="str">
        <f>+'balance 2023 los andes antes im'!B47</f>
        <v>ACCIONES SUSCRITAS</v>
      </c>
      <c r="D228" s="48"/>
      <c r="E228" s="49">
        <f>+D227</f>
        <v>60000000</v>
      </c>
    </row>
    <row r="229" spans="1:5" ht="15.75" customHeight="1" thickBot="1">
      <c r="A229" s="176"/>
      <c r="B229" s="835" t="s">
        <v>794</v>
      </c>
      <c r="C229" s="835"/>
      <c r="D229" s="835"/>
      <c r="E229" s="836"/>
    </row>
    <row r="230" spans="1:5">
      <c r="A230" s="38">
        <v>46</v>
      </c>
      <c r="B230" s="37" t="str">
        <f>+'balance 2023 los andes antes im'!B72</f>
        <v>DEPRECIACIÓN FINANCIERA DEL EJERCICIO</v>
      </c>
      <c r="C230" s="204"/>
      <c r="D230" s="48">
        <f>+'activo no corriente 2023'!I16+'activo no corriente 2023'!I44</f>
        <v>5166666.666666667</v>
      </c>
      <c r="E230" s="49"/>
    </row>
    <row r="231" spans="1:5">
      <c r="A231" s="34"/>
      <c r="B231" s="29" t="str">
        <f>+'balance 2023 los andes antes im'!B73</f>
        <v>DEPRECIACIÓN LEASING DEL EJERCICIO</v>
      </c>
      <c r="C231" s="196"/>
      <c r="D231" s="45">
        <f>+'activo no corriente 2023'!I86</f>
        <v>27777777.77777778</v>
      </c>
      <c r="E231" s="47"/>
    </row>
    <row r="232" spans="1:5">
      <c r="A232" s="34"/>
      <c r="B232" s="29"/>
      <c r="C232" s="196" t="str">
        <f>+'balance 2023 los andes antes im'!B27</f>
        <v>DEPRECIACIONES ACUMULADAS</v>
      </c>
      <c r="D232" s="45"/>
      <c r="E232" s="47">
        <f>+D230</f>
        <v>5166666.666666667</v>
      </c>
    </row>
    <row r="233" spans="1:5">
      <c r="A233" s="34"/>
      <c r="B233" s="29"/>
      <c r="C233" s="196" t="str">
        <f>+'balance 2023 los andes antes im'!B28</f>
        <v>DEPRECIACIONES ACUMULADAS EN LEASING</v>
      </c>
      <c r="D233" s="50"/>
      <c r="E233" s="51">
        <f>+D231</f>
        <v>27777777.77777778</v>
      </c>
    </row>
    <row r="234" spans="1:5" ht="15.75" customHeight="1" thickBot="1">
      <c r="A234" s="155"/>
      <c r="B234" s="837" t="s">
        <v>23</v>
      </c>
      <c r="C234" s="838"/>
      <c r="D234" s="838"/>
      <c r="E234" s="839"/>
    </row>
    <row r="235" spans="1:5" ht="15.75" customHeight="1">
      <c r="A235" s="167">
        <v>47</v>
      </c>
      <c r="B235" s="168" t="s">
        <v>110</v>
      </c>
      <c r="C235" s="203"/>
      <c r="D235" s="169">
        <v>417800</v>
      </c>
      <c r="E235" s="170"/>
    </row>
    <row r="236" spans="1:5" ht="15.75" customHeight="1">
      <c r="A236" s="171"/>
      <c r="B236" s="37"/>
      <c r="C236" s="204" t="s">
        <v>84</v>
      </c>
      <c r="D236" s="48">
        <f>+E231*1%</f>
        <v>0</v>
      </c>
      <c r="E236" s="49">
        <f>+D235</f>
        <v>417800</v>
      </c>
    </row>
    <row r="237" spans="1:5" ht="15.75" customHeight="1" thickBot="1">
      <c r="A237" s="172"/>
      <c r="B237" s="827" t="s">
        <v>685</v>
      </c>
      <c r="C237" s="828"/>
      <c r="D237" s="828"/>
      <c r="E237" s="829"/>
    </row>
    <row r="238" spans="1:5" ht="15.75" customHeight="1">
      <c r="A238" s="167">
        <v>48</v>
      </c>
      <c r="B238" s="168" t="s">
        <v>314</v>
      </c>
      <c r="C238" s="205"/>
      <c r="D238" s="169">
        <f>+'provision vacaciones dos años '!G36</f>
        <v>1215000</v>
      </c>
      <c r="E238" s="170"/>
    </row>
    <row r="239" spans="1:5" ht="15.75" customHeight="1">
      <c r="A239" s="175"/>
      <c r="B239" s="29"/>
      <c r="C239" s="196" t="str">
        <f>+'balance 2023 los andes antes im'!B43</f>
        <v>PROVISIÓN VACACIONES</v>
      </c>
      <c r="D239" s="45">
        <f>+'activo no corriente 2023'!I91</f>
        <v>0</v>
      </c>
      <c r="E239" s="47">
        <f>+D238</f>
        <v>1215000</v>
      </c>
    </row>
    <row r="240" spans="1:5" ht="15.75" customHeight="1" thickBot="1">
      <c r="A240" s="176"/>
      <c r="B240" s="827" t="s">
        <v>315</v>
      </c>
      <c r="C240" s="828"/>
      <c r="D240" s="828"/>
      <c r="E240" s="829"/>
    </row>
    <row r="241" spans="1:5" ht="15.75" customHeight="1">
      <c r="A241" s="34">
        <v>49</v>
      </c>
      <c r="B241" s="29" t="str">
        <f>+'balance 2023 los andes antes im'!B65</f>
        <v xml:space="preserve">CASTIGO DEUDORES POR VENTAS </v>
      </c>
      <c r="C241" s="196"/>
      <c r="D241" s="45">
        <f>+E243-D242</f>
        <v>5135000</v>
      </c>
      <c r="E241" s="47"/>
    </row>
    <row r="242" spans="1:5" ht="15.75" customHeight="1">
      <c r="A242" s="34"/>
      <c r="B242" s="29" t="str">
        <f>+'balance 2023 los andes antes im'!B10</f>
        <v>ESTIMACIÓN DEUDORES INCOBRABLES</v>
      </c>
      <c r="C242" s="196"/>
      <c r="D242" s="45">
        <f>+'balance 2022 final los andes '!H10</f>
        <v>7865000</v>
      </c>
      <c r="E242" s="47"/>
    </row>
    <row r="243" spans="1:5" ht="15.75" customHeight="1">
      <c r="A243" s="34"/>
      <c r="B243" s="29"/>
      <c r="C243" s="196" t="s">
        <v>109</v>
      </c>
      <c r="D243" s="45"/>
      <c r="E243" s="47">
        <v>13000000</v>
      </c>
    </row>
    <row r="244" spans="1:5" ht="15.75" customHeight="1" thickBot="1">
      <c r="A244" s="174"/>
      <c r="B244" s="592" t="s">
        <v>686</v>
      </c>
      <c r="C244" s="165"/>
      <c r="D244" s="165"/>
      <c r="E244" s="166"/>
    </row>
    <row r="245" spans="1:5" ht="15.75" customHeight="1">
      <c r="A245" s="167">
        <v>50</v>
      </c>
      <c r="B245" s="584" t="s">
        <v>73</v>
      </c>
      <c r="C245" s="584"/>
      <c r="D245" s="585">
        <f>+'impuesto diferido 2023'!H57</f>
        <v>19686911.411764707</v>
      </c>
      <c r="E245" s="586"/>
    </row>
    <row r="246" spans="1:5" ht="15.75" customHeight="1">
      <c r="A246" s="587"/>
      <c r="B246" s="25" t="s">
        <v>96</v>
      </c>
      <c r="C246" s="25"/>
      <c r="D246" s="487"/>
      <c r="E246" s="588">
        <f>+D245-E247</f>
        <v>3866760.594957985</v>
      </c>
    </row>
    <row r="247" spans="1:5" ht="15.75" customHeight="1" thickBot="1">
      <c r="A247" s="589"/>
      <c r="B247" s="590"/>
      <c r="C247" s="590" t="s">
        <v>681</v>
      </c>
      <c r="D247" s="590"/>
      <c r="E247" s="591">
        <f>+'impuesto diferido 2023'!H29</f>
        <v>15820150.816806722</v>
      </c>
    </row>
    <row r="248" spans="1:5" ht="13.5" thickBot="1">
      <c r="B248" s="26" t="s">
        <v>0</v>
      </c>
      <c r="C248" s="214"/>
      <c r="D248" s="582">
        <f>SUM(D5:D234)+D238</f>
        <v>4539359861.2661114</v>
      </c>
      <c r="E248" s="583">
        <f>SUM(E5:E234)+E239</f>
        <v>4539359861.2661114</v>
      </c>
    </row>
    <row r="249" spans="1:5">
      <c r="E249" s="2">
        <f>+D248-E248</f>
        <v>0</v>
      </c>
    </row>
  </sheetData>
  <mergeCells count="47">
    <mergeCell ref="B220:E220"/>
    <mergeCell ref="B212:E212"/>
    <mergeCell ref="B215:E215"/>
    <mergeCell ref="B223:E223"/>
    <mergeCell ref="B237:E237"/>
    <mergeCell ref="B226:E226"/>
    <mergeCell ref="B229:E229"/>
    <mergeCell ref="B166:E166"/>
    <mergeCell ref="B169:E169"/>
    <mergeCell ref="B109:E109"/>
    <mergeCell ref="B112:E112"/>
    <mergeCell ref="B119:E119"/>
    <mergeCell ref="B122:E122"/>
    <mergeCell ref="B135:E135"/>
    <mergeCell ref="B115:E115"/>
    <mergeCell ref="B132:E132"/>
    <mergeCell ref="B126:E126"/>
    <mergeCell ref="B105:E105"/>
    <mergeCell ref="B2:E2"/>
    <mergeCell ref="B3:E3"/>
    <mergeCell ref="B88:E88"/>
    <mergeCell ref="B43:E43"/>
    <mergeCell ref="B47:E47"/>
    <mergeCell ref="B52:E52"/>
    <mergeCell ref="B70:E70"/>
    <mergeCell ref="B59:E59"/>
    <mergeCell ref="B63:E63"/>
    <mergeCell ref="B76:E76"/>
    <mergeCell ref="B91:E91"/>
    <mergeCell ref="B98:E98"/>
    <mergeCell ref="B101:E101"/>
    <mergeCell ref="B240:E240"/>
    <mergeCell ref="B138:E138"/>
    <mergeCell ref="B182:E182"/>
    <mergeCell ref="B189:E189"/>
    <mergeCell ref="B194:E194"/>
    <mergeCell ref="B209:E209"/>
    <mergeCell ref="B141:E141"/>
    <mergeCell ref="B145:E145"/>
    <mergeCell ref="B149:E149"/>
    <mergeCell ref="B173:E173"/>
    <mergeCell ref="B178:E178"/>
    <mergeCell ref="B186:E186"/>
    <mergeCell ref="B234:E234"/>
    <mergeCell ref="B154:E154"/>
    <mergeCell ref="B158:E158"/>
    <mergeCell ref="B162:E162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13" zoomScale="98" zoomScaleNormal="98" workbookViewId="0">
      <selection sqref="A1:J44"/>
    </sheetView>
  </sheetViews>
  <sheetFormatPr baseColWidth="10" defaultRowHeight="15"/>
  <cols>
    <col min="1" max="1" width="7.7109375" style="10" customWidth="1"/>
    <col min="2" max="3" width="14" bestFit="1" customWidth="1"/>
    <col min="4" max="4" width="4.140625" style="23" customWidth="1"/>
    <col min="5" max="5" width="11.85546875" bestFit="1" customWidth="1"/>
    <col min="8" max="8" width="5.42578125" customWidth="1"/>
    <col min="9" max="9" width="13" bestFit="1" customWidth="1"/>
    <col min="10" max="10" width="14.140625" customWidth="1"/>
    <col min="13" max="15" width="14" bestFit="1" customWidth="1"/>
    <col min="18" max="19" width="14" bestFit="1" customWidth="1"/>
    <col min="22" max="22" width="12" bestFit="1" customWidth="1"/>
    <col min="23" max="23" width="14" bestFit="1" customWidth="1"/>
  </cols>
  <sheetData>
    <row r="1" spans="1:23" ht="18.75">
      <c r="A1" s="24"/>
      <c r="B1" s="848" t="s">
        <v>2</v>
      </c>
      <c r="C1" s="848"/>
      <c r="D1" s="19"/>
      <c r="I1" s="847" t="s">
        <v>795</v>
      </c>
      <c r="J1" s="847"/>
      <c r="N1" s="847" t="s">
        <v>52</v>
      </c>
      <c r="O1" s="847"/>
      <c r="R1" s="847" t="s">
        <v>214</v>
      </c>
      <c r="S1" s="847"/>
      <c r="V1" s="847" t="s">
        <v>737</v>
      </c>
      <c r="W1" s="847"/>
    </row>
    <row r="2" spans="1:23">
      <c r="A2" s="24"/>
      <c r="B2" s="11" t="s">
        <v>3</v>
      </c>
      <c r="C2" s="11" t="s">
        <v>4</v>
      </c>
      <c r="D2" s="20"/>
      <c r="I2" s="11" t="s">
        <v>3</v>
      </c>
      <c r="J2" s="11" t="s">
        <v>4</v>
      </c>
      <c r="N2" s="11" t="s">
        <v>3</v>
      </c>
      <c r="O2" s="11" t="s">
        <v>4</v>
      </c>
      <c r="R2" s="11" t="s">
        <v>3</v>
      </c>
      <c r="S2" s="11" t="s">
        <v>4</v>
      </c>
      <c r="V2" s="11" t="s">
        <v>3</v>
      </c>
      <c r="W2" s="11" t="s">
        <v>4</v>
      </c>
    </row>
    <row r="3" spans="1:23">
      <c r="A3" s="24">
        <v>1</v>
      </c>
      <c r="B3" s="12">
        <f>+'Libro Diario 2023 '!D6</f>
        <v>7400000</v>
      </c>
      <c r="C3" s="13"/>
      <c r="D3" s="18"/>
      <c r="E3" t="s">
        <v>406</v>
      </c>
      <c r="H3">
        <v>22</v>
      </c>
      <c r="I3" s="12">
        <f>+'Libro Diario 2023 '!D133</f>
        <v>30000000</v>
      </c>
      <c r="J3" s="13"/>
      <c r="K3" t="s">
        <v>405</v>
      </c>
      <c r="N3" s="12">
        <f>+'Libro Diario 2023 '!D11</f>
        <v>375000000</v>
      </c>
      <c r="O3" s="13"/>
      <c r="P3" t="s">
        <v>406</v>
      </c>
      <c r="R3" s="12">
        <f>+'Libro Diario 2023 '!D102</f>
        <v>22000000</v>
      </c>
      <c r="S3" s="13"/>
      <c r="T3" t="s">
        <v>729</v>
      </c>
      <c r="U3" t="s">
        <v>729</v>
      </c>
      <c r="V3" s="12">
        <f>+'balance 2023 los andes antes im'!G23</f>
        <v>5800000</v>
      </c>
      <c r="W3" s="13"/>
    </row>
    <row r="4" spans="1:23">
      <c r="A4" s="24">
        <v>12</v>
      </c>
      <c r="B4" s="12">
        <f>+'Libro Diario 2023 '!D92</f>
        <v>10236720</v>
      </c>
      <c r="C4" s="13"/>
      <c r="D4" s="18"/>
      <c r="E4" t="s">
        <v>671</v>
      </c>
      <c r="I4" s="12"/>
      <c r="J4" s="13"/>
      <c r="N4" s="12">
        <f>+'Libro Diario 2023 '!D142</f>
        <v>210084033.6134454</v>
      </c>
      <c r="O4" s="13"/>
      <c r="P4" t="s">
        <v>728</v>
      </c>
      <c r="R4" s="12"/>
      <c r="S4" s="13">
        <f>+'Libro Diario 2023 '!E130</f>
        <v>22000000</v>
      </c>
      <c r="T4" t="s">
        <v>730</v>
      </c>
      <c r="V4" s="12"/>
      <c r="W4" s="13">
        <f>+'Libro Diario 2023 '!I130</f>
        <v>0</v>
      </c>
    </row>
    <row r="5" spans="1:23">
      <c r="A5" s="24"/>
      <c r="B5" s="12"/>
      <c r="C5" s="13">
        <f>+'Libro Diario 2023 '!E87</f>
        <v>4284000</v>
      </c>
      <c r="D5" s="18">
        <v>10</v>
      </c>
      <c r="E5" t="s">
        <v>376</v>
      </c>
      <c r="I5" s="12"/>
      <c r="J5" s="13"/>
      <c r="N5" s="12">
        <f>+'Libro Diario 2023 '!D196</f>
        <v>9424800</v>
      </c>
      <c r="O5" s="13"/>
      <c r="P5" t="s">
        <v>726</v>
      </c>
      <c r="R5" s="12">
        <f>+'Libro Diario 2023 '!D197</f>
        <v>14033614</v>
      </c>
      <c r="S5" s="13"/>
      <c r="T5" t="s">
        <v>731</v>
      </c>
      <c r="V5" s="12">
        <f>+'Libro Diario 2023 '!H197</f>
        <v>0</v>
      </c>
      <c r="W5" s="13"/>
    </row>
    <row r="6" spans="1:23">
      <c r="A6" s="24"/>
      <c r="B6" s="12"/>
      <c r="C6" s="13">
        <f>+'Libro Diario 2023 '!E108</f>
        <v>333200</v>
      </c>
      <c r="D6" s="18">
        <v>16</v>
      </c>
      <c r="E6" t="s">
        <v>370</v>
      </c>
      <c r="I6" s="12"/>
      <c r="J6" s="13"/>
      <c r="N6" s="12"/>
      <c r="O6" s="13">
        <f>+'Libro Diario 2023 '!E69</f>
        <v>250000000</v>
      </c>
      <c r="P6" t="s">
        <v>143</v>
      </c>
      <c r="R6" s="12"/>
      <c r="S6" s="13"/>
      <c r="V6" s="12"/>
      <c r="W6" s="13"/>
    </row>
    <row r="7" spans="1:23">
      <c r="A7" s="24">
        <v>18</v>
      </c>
      <c r="B7" s="12">
        <f>+'Libro Diario 2023 '!D113</f>
        <v>5000000</v>
      </c>
      <c r="C7" s="13"/>
      <c r="D7" s="18"/>
      <c r="E7" t="s">
        <v>371</v>
      </c>
      <c r="I7" s="12"/>
      <c r="J7" s="13"/>
      <c r="N7" s="12"/>
      <c r="O7" s="13">
        <f>+'Libro Diario 2023 '!E168</f>
        <v>11698191.155000001</v>
      </c>
      <c r="P7" t="s">
        <v>727</v>
      </c>
      <c r="R7" s="12"/>
      <c r="S7" s="13"/>
      <c r="V7" s="12"/>
      <c r="W7" s="13"/>
    </row>
    <row r="8" spans="1:23">
      <c r="A8" s="24">
        <v>39</v>
      </c>
      <c r="B8" s="265">
        <f>+'Libro Diario 2023 '!D195</f>
        <v>18841919</v>
      </c>
      <c r="C8" s="13"/>
      <c r="D8" s="18"/>
      <c r="E8" t="s">
        <v>385</v>
      </c>
      <c r="I8" s="12"/>
      <c r="J8" s="13"/>
      <c r="N8" s="12"/>
      <c r="O8" s="13">
        <f>+'Libro Diario 2023 '!E172</f>
        <v>850000</v>
      </c>
      <c r="P8" t="s">
        <v>727</v>
      </c>
      <c r="R8" s="12"/>
      <c r="S8" s="13"/>
      <c r="V8" s="12"/>
      <c r="W8" s="13"/>
    </row>
    <row r="9" spans="1:23">
      <c r="A9" s="24"/>
      <c r="B9" s="12"/>
      <c r="C9" s="13">
        <f>+'Libro Diario 2023 '!E219</f>
        <v>180000</v>
      </c>
      <c r="D9" s="21">
        <v>42</v>
      </c>
      <c r="E9" t="s">
        <v>684</v>
      </c>
      <c r="I9" s="14"/>
      <c r="J9" s="15"/>
      <c r="N9" s="14"/>
      <c r="O9" s="15"/>
      <c r="R9" s="14"/>
      <c r="S9" s="15"/>
      <c r="V9" s="14"/>
      <c r="W9" s="15"/>
    </row>
    <row r="10" spans="1:23">
      <c r="A10" s="24"/>
      <c r="B10" s="12"/>
      <c r="C10" s="13"/>
      <c r="D10" s="18"/>
      <c r="I10" s="265">
        <f>SUM(I3:I9)</f>
        <v>30000000</v>
      </c>
      <c r="J10" s="12">
        <f>SUM(J3:J9)</f>
        <v>0</v>
      </c>
      <c r="N10" s="265">
        <f>SUM(N3:N9)</f>
        <v>594508833.6134454</v>
      </c>
      <c r="O10" s="12">
        <f>SUM(O3:O9)</f>
        <v>262548191.155</v>
      </c>
      <c r="R10" s="265">
        <f>SUM(R3:R9)</f>
        <v>36033614</v>
      </c>
      <c r="S10" s="12">
        <f>SUM(S3:S9)</f>
        <v>22000000</v>
      </c>
      <c r="V10" s="265">
        <f>SUM(V3:V9)</f>
        <v>5800000</v>
      </c>
      <c r="W10" s="12">
        <f>SUM(W3:W9)</f>
        <v>0</v>
      </c>
    </row>
    <row r="11" spans="1:23">
      <c r="A11" s="24"/>
      <c r="B11" s="12"/>
      <c r="C11" s="13"/>
      <c r="D11" s="18"/>
      <c r="I11" s="10" t="s">
        <v>22</v>
      </c>
      <c r="J11" s="17">
        <f>+I10-J10</f>
        <v>30000000</v>
      </c>
      <c r="N11" s="10" t="s">
        <v>22</v>
      </c>
      <c r="O11" s="17">
        <f>+N10-O10</f>
        <v>331960642.45844543</v>
      </c>
      <c r="R11" s="10" t="s">
        <v>22</v>
      </c>
      <c r="S11" s="17">
        <f>+R10-S10</f>
        <v>14033614</v>
      </c>
      <c r="V11" s="10" t="s">
        <v>22</v>
      </c>
      <c r="W11" s="17">
        <f>+V10-W10</f>
        <v>5800000</v>
      </c>
    </row>
    <row r="12" spans="1:23">
      <c r="A12" s="16"/>
      <c r="B12" s="12"/>
      <c r="C12" s="13"/>
      <c r="D12" s="22"/>
      <c r="F12" s="4"/>
      <c r="G12" s="4"/>
    </row>
    <row r="13" spans="1:23" ht="17.25">
      <c r="A13" s="16"/>
      <c r="B13" s="14"/>
      <c r="C13" s="15"/>
      <c r="D13" s="19"/>
      <c r="N13" s="847" t="s">
        <v>248</v>
      </c>
      <c r="O13" s="847"/>
      <c r="R13" s="847" t="s">
        <v>306</v>
      </c>
      <c r="S13" s="847"/>
    </row>
    <row r="14" spans="1:23">
      <c r="A14" s="16"/>
      <c r="B14" s="12">
        <f>SUM(B3:B13)</f>
        <v>41478639</v>
      </c>
      <c r="C14" s="12">
        <f>SUM(C3:C13)</f>
        <v>4797200</v>
      </c>
      <c r="D14" s="20"/>
      <c r="N14" s="11" t="s">
        <v>3</v>
      </c>
      <c r="O14" s="11" t="s">
        <v>4</v>
      </c>
      <c r="R14" s="11" t="s">
        <v>3</v>
      </c>
      <c r="S14" s="11" t="s">
        <v>4</v>
      </c>
    </row>
    <row r="15" spans="1:23">
      <c r="A15" s="16"/>
      <c r="B15" s="16" t="s">
        <v>22</v>
      </c>
      <c r="C15" s="17">
        <f>+B14-C14</f>
        <v>36681439</v>
      </c>
      <c r="D15" s="18"/>
      <c r="N15" s="12">
        <f>+'Libro Diario 2023 '!D9</f>
        <v>143000000</v>
      </c>
      <c r="O15" s="13"/>
      <c r="P15" t="s">
        <v>406</v>
      </c>
      <c r="R15" s="12">
        <f>+'Libro Diario 2023 '!D114</f>
        <v>0</v>
      </c>
      <c r="S15" s="13">
        <f>+'Libro Diario 2023 '!E26</f>
        <v>187410000</v>
      </c>
      <c r="T15" t="s">
        <v>732</v>
      </c>
    </row>
    <row r="16" spans="1:23">
      <c r="A16" s="16"/>
      <c r="B16" s="4"/>
      <c r="C16" s="4"/>
      <c r="D16" s="18"/>
      <c r="N16" s="12">
        <f>+'Libro Diario 2023 '!D64</f>
        <v>416500000</v>
      </c>
      <c r="O16" s="13"/>
      <c r="P16" t="s">
        <v>722</v>
      </c>
      <c r="R16" s="12"/>
      <c r="S16" s="13">
        <f>+'Libro Diario 2023 '!E144</f>
        <v>250000000</v>
      </c>
      <c r="T16" t="s">
        <v>733</v>
      </c>
    </row>
    <row r="17" spans="1:23" ht="18.75">
      <c r="A17" s="16"/>
      <c r="B17" s="849" t="s">
        <v>18</v>
      </c>
      <c r="C17" s="849"/>
      <c r="D17" s="18"/>
      <c r="M17" s="728">
        <f>+N16-O17</f>
        <v>166600000</v>
      </c>
      <c r="N17" s="12">
        <f>+'Libro Diario 2023 '!D208</f>
        <v>0</v>
      </c>
      <c r="O17" s="13">
        <f>+'Libro Diario 2023 '!E111</f>
        <v>249900000</v>
      </c>
      <c r="P17" t="s">
        <v>723</v>
      </c>
      <c r="R17" s="12"/>
      <c r="S17" s="13">
        <f>+'Libro Diario 2023 '!E192</f>
        <v>1190000</v>
      </c>
      <c r="T17" t="s">
        <v>734</v>
      </c>
    </row>
    <row r="18" spans="1:23">
      <c r="A18" s="16"/>
      <c r="B18" s="11" t="s">
        <v>3</v>
      </c>
      <c r="C18" s="11" t="s">
        <v>4</v>
      </c>
      <c r="D18" s="18"/>
      <c r="N18" s="12"/>
      <c r="O18" s="13">
        <f>+'Libro Diario 2023 '!E211</f>
        <v>130000000</v>
      </c>
      <c r="P18" t="s">
        <v>724</v>
      </c>
      <c r="R18" s="12"/>
      <c r="S18" s="13">
        <f>+'Libro Diario 2023 '!E202</f>
        <v>18416974</v>
      </c>
      <c r="T18" t="s">
        <v>731</v>
      </c>
    </row>
    <row r="19" spans="1:23">
      <c r="A19" s="16">
        <v>1</v>
      </c>
      <c r="B19" s="12">
        <f>+'Libro Diario 2023 '!D7</f>
        <v>52444800</v>
      </c>
      <c r="C19" s="13"/>
      <c r="D19" s="18"/>
      <c r="E19" t="s">
        <v>406</v>
      </c>
      <c r="N19" s="12"/>
      <c r="O19" s="13">
        <f>+'Libro Diario 2023 '!E243</f>
        <v>13000000</v>
      </c>
      <c r="P19" t="s">
        <v>725</v>
      </c>
      <c r="R19" s="12">
        <f>+'Libro Diario 2023 '!D187</f>
        <v>75000000</v>
      </c>
      <c r="S19" s="13"/>
      <c r="T19" t="s">
        <v>735</v>
      </c>
      <c r="W19" s="637">
        <f>+S16-R19</f>
        <v>175000000</v>
      </c>
    </row>
    <row r="20" spans="1:23">
      <c r="A20" s="16"/>
      <c r="B20" s="12"/>
      <c r="C20" s="13">
        <f>+'Libro Diario 2023 '!E51</f>
        <v>6902000</v>
      </c>
      <c r="D20" s="21">
        <v>3</v>
      </c>
      <c r="E20" t="s">
        <v>363</v>
      </c>
      <c r="N20" s="12"/>
      <c r="O20" s="13">
        <f>+'Libro Diario 2023 '!E184</f>
        <v>0</v>
      </c>
      <c r="R20" s="12">
        <f>+'Libro Diario 2023 '!D213</f>
        <v>187410000</v>
      </c>
      <c r="S20" s="13"/>
      <c r="T20" t="s">
        <v>736</v>
      </c>
    </row>
    <row r="21" spans="1:23">
      <c r="A21" s="16"/>
      <c r="B21" s="12"/>
      <c r="C21" s="13">
        <f>+'Libro Diario 2023 '!E57</f>
        <v>7169000</v>
      </c>
      <c r="D21" s="21">
        <v>4</v>
      </c>
      <c r="E21" t="s">
        <v>365</v>
      </c>
      <c r="N21" s="14"/>
      <c r="O21" s="15"/>
      <c r="R21" s="14"/>
      <c r="S21" s="15"/>
    </row>
    <row r="22" spans="1:23">
      <c r="A22" s="16"/>
      <c r="B22" s="12"/>
      <c r="C22" s="13">
        <f>+'Libro Diario 2023 '!E61</f>
        <v>634800</v>
      </c>
      <c r="D22" s="21">
        <v>5</v>
      </c>
      <c r="E22" t="s">
        <v>366</v>
      </c>
      <c r="N22" s="265">
        <f>SUM(N15:N21)</f>
        <v>559500000</v>
      </c>
      <c r="O22" s="12">
        <f>SUM(O15:O21)</f>
        <v>392900000</v>
      </c>
      <c r="R22" s="265">
        <f>SUM(R15:R21)</f>
        <v>262410000</v>
      </c>
      <c r="S22" s="12">
        <f>SUM(S15:S21)</f>
        <v>457016974</v>
      </c>
    </row>
    <row r="23" spans="1:23">
      <c r="A23" s="16">
        <v>6</v>
      </c>
      <c r="B23" s="12">
        <f>+'Libro Diario 2023 '!D65</f>
        <v>178500000</v>
      </c>
      <c r="C23" s="13"/>
      <c r="D23" s="21"/>
      <c r="E23" t="s">
        <v>367</v>
      </c>
      <c r="N23" s="10" t="s">
        <v>22</v>
      </c>
      <c r="O23" s="17">
        <f>+N22-O22</f>
        <v>166600000</v>
      </c>
      <c r="R23" s="10" t="s">
        <v>22</v>
      </c>
      <c r="S23" s="17">
        <f>+R22-S22</f>
        <v>-194606974</v>
      </c>
    </row>
    <row r="24" spans="1:23">
      <c r="A24" s="16"/>
      <c r="B24" s="12"/>
      <c r="C24" s="13">
        <f>+'Libro Diario 2023 '!E74</f>
        <v>98898000</v>
      </c>
      <c r="D24" s="21">
        <v>7</v>
      </c>
      <c r="E24" t="str">
        <f>+E21</f>
        <v>pago de impuestos mensuales</v>
      </c>
    </row>
    <row r="25" spans="1:23">
      <c r="A25" s="16"/>
      <c r="B25" s="12"/>
      <c r="C25" s="13">
        <f>+'Libro Diario 2023 '!E83</f>
        <v>41650000</v>
      </c>
      <c r="D25" s="21">
        <v>9</v>
      </c>
      <c r="E25" t="s">
        <v>368</v>
      </c>
    </row>
    <row r="26" spans="1:23">
      <c r="A26" s="16"/>
      <c r="B26" s="12"/>
      <c r="C26" s="13">
        <f>+'Libro Diario 2023 '!E104</f>
        <v>26180000</v>
      </c>
      <c r="D26" s="21">
        <v>15</v>
      </c>
      <c r="E26" t="s">
        <v>369</v>
      </c>
    </row>
    <row r="27" spans="1:23">
      <c r="A27" s="16">
        <v>17</v>
      </c>
      <c r="B27" s="12">
        <f>+'Libro Diario 2023 '!D110</f>
        <v>249900000</v>
      </c>
      <c r="C27" s="13"/>
      <c r="D27" s="21"/>
      <c r="E27" t="str">
        <f>+E23</f>
        <v xml:space="preserve">ingreso por ventas </v>
      </c>
    </row>
    <row r="28" spans="1:23">
      <c r="A28" s="16"/>
      <c r="B28" s="12"/>
      <c r="C28" s="13">
        <f>+'Libro Diario 2023 '!E118</f>
        <v>1982750</v>
      </c>
      <c r="D28" s="21">
        <v>19</v>
      </c>
      <c r="E28" t="s">
        <v>372</v>
      </c>
    </row>
    <row r="29" spans="1:23">
      <c r="A29" s="16">
        <v>21</v>
      </c>
      <c r="B29" s="12">
        <f>+'Libro Diario 2023 '!D123</f>
        <v>21420000</v>
      </c>
      <c r="C29" s="13"/>
      <c r="D29" s="21"/>
      <c r="E29" t="s">
        <v>373</v>
      </c>
    </row>
    <row r="30" spans="1:23">
      <c r="A30" s="16"/>
      <c r="B30" s="12"/>
      <c r="C30" s="266">
        <f>+'Libro Diario 2023 '!D133</f>
        <v>30000000</v>
      </c>
      <c r="D30" s="21">
        <v>23</v>
      </c>
      <c r="E30" t="s">
        <v>374</v>
      </c>
    </row>
    <row r="31" spans="1:23">
      <c r="A31" s="16"/>
      <c r="B31" s="12"/>
      <c r="C31" s="13">
        <f>+'Libro Diario 2023 '!E137</f>
        <v>12000000</v>
      </c>
      <c r="D31" s="21">
        <v>24</v>
      </c>
      <c r="E31" t="s">
        <v>375</v>
      </c>
    </row>
    <row r="32" spans="1:23">
      <c r="A32" s="16">
        <v>27</v>
      </c>
      <c r="B32" s="265">
        <f>+'Libro Diario 2023 '!D146</f>
        <v>55200000</v>
      </c>
      <c r="C32" s="13"/>
      <c r="D32" s="21"/>
      <c r="E32" t="s">
        <v>377</v>
      </c>
    </row>
    <row r="33" spans="1:5">
      <c r="A33" s="16"/>
      <c r="B33" s="12"/>
      <c r="C33" s="13">
        <f>+'Libro Diario 2023 '!D159</f>
        <v>28090800</v>
      </c>
      <c r="D33" s="21">
        <v>30</v>
      </c>
      <c r="E33" t="s">
        <v>378</v>
      </c>
    </row>
    <row r="34" spans="1:5">
      <c r="A34" s="16"/>
      <c r="B34" s="12"/>
      <c r="C34" s="13">
        <f>+'Libro Diario 2023 '!D160</f>
        <v>6325632</v>
      </c>
      <c r="D34" s="21">
        <v>30</v>
      </c>
      <c r="E34" t="s">
        <v>366</v>
      </c>
    </row>
    <row r="35" spans="1:5">
      <c r="A35" s="16">
        <v>31</v>
      </c>
      <c r="B35" s="12">
        <f>+'Libro Diario 2023 '!D163</f>
        <v>1190000</v>
      </c>
      <c r="C35" s="13"/>
      <c r="D35" s="18"/>
      <c r="E35" t="s">
        <v>379</v>
      </c>
    </row>
    <row r="36" spans="1:5">
      <c r="A36" s="16"/>
      <c r="B36" s="12"/>
      <c r="C36" s="13">
        <f>+'Libro Diario 2023 '!D183</f>
        <v>21400000</v>
      </c>
      <c r="D36" s="18">
        <v>36</v>
      </c>
      <c r="E36" t="s">
        <v>381</v>
      </c>
    </row>
    <row r="37" spans="1:5">
      <c r="A37" s="16"/>
      <c r="B37" s="12"/>
      <c r="C37" s="13">
        <f>+'Libro Diario 2023 '!D184</f>
        <v>5600000</v>
      </c>
      <c r="D37" s="22">
        <v>36</v>
      </c>
      <c r="E37" t="s">
        <v>382</v>
      </c>
    </row>
    <row r="38" spans="1:5">
      <c r="A38" s="16"/>
      <c r="B38" s="12"/>
      <c r="C38" s="13">
        <f>+'Libro Diario 2023 '!E188</f>
        <v>75000000</v>
      </c>
      <c r="D38" s="22">
        <v>37</v>
      </c>
      <c r="E38" t="s">
        <v>396</v>
      </c>
    </row>
    <row r="39" spans="1:5">
      <c r="A39" s="16"/>
      <c r="B39" s="12"/>
      <c r="C39" s="13">
        <f>+'Libro Diario 2023 '!E193</f>
        <v>1190000</v>
      </c>
      <c r="D39" s="22">
        <v>38</v>
      </c>
      <c r="E39" t="s">
        <v>383</v>
      </c>
    </row>
    <row r="40" spans="1:5">
      <c r="A40" s="16"/>
      <c r="B40" s="12"/>
      <c r="C40" s="266">
        <f>+'Libro Diario 2023 '!E207</f>
        <v>12000000</v>
      </c>
      <c r="D40" s="22">
        <v>39</v>
      </c>
      <c r="E40" t="s">
        <v>384</v>
      </c>
    </row>
    <row r="41" spans="1:5">
      <c r="A41" s="16">
        <v>40</v>
      </c>
      <c r="B41" s="12">
        <f>+'Libro Diario 2023 '!D210</f>
        <v>130000000</v>
      </c>
      <c r="C41" s="13"/>
      <c r="D41" s="22"/>
      <c r="E41" t="s">
        <v>682</v>
      </c>
    </row>
    <row r="42" spans="1:5">
      <c r="A42" s="16"/>
      <c r="B42" s="12"/>
      <c r="C42" s="13">
        <f>+'Libro Diario 2023 '!E214</f>
        <v>187410000</v>
      </c>
      <c r="D42" s="22">
        <v>41</v>
      </c>
      <c r="E42" t="s">
        <v>683</v>
      </c>
    </row>
    <row r="43" spans="1:5">
      <c r="A43" s="16"/>
      <c r="B43" s="12"/>
      <c r="C43" s="13">
        <f>+'Libro Diario 2023 '!E225</f>
        <v>100000000</v>
      </c>
      <c r="D43" s="22">
        <v>44</v>
      </c>
      <c r="E43" t="s">
        <v>398</v>
      </c>
    </row>
    <row r="44" spans="1:5">
      <c r="A44" s="16"/>
      <c r="B44" s="12">
        <f>+'Libro Diario 2023 '!D227</f>
        <v>60000000</v>
      </c>
      <c r="C44" s="13"/>
      <c r="D44" s="22">
        <v>45</v>
      </c>
      <c r="E44" t="s">
        <v>690</v>
      </c>
    </row>
    <row r="45" spans="1:5">
      <c r="A45" s="16"/>
      <c r="B45" s="14"/>
      <c r="C45" s="15"/>
      <c r="D45" s="22"/>
    </row>
    <row r="46" spans="1:5">
      <c r="A46" s="16"/>
      <c r="B46" s="12">
        <f>SUM(B19:B45)</f>
        <v>748654800</v>
      </c>
      <c r="C46" s="12">
        <f>SUM(C19:C45)</f>
        <v>662432982</v>
      </c>
      <c r="D46" s="22"/>
    </row>
    <row r="47" spans="1:5">
      <c r="A47" s="16"/>
      <c r="B47" s="10" t="s">
        <v>22</v>
      </c>
      <c r="C47" s="17">
        <f>+B46-C46</f>
        <v>86221818</v>
      </c>
      <c r="D47" s="22"/>
    </row>
    <row r="48" spans="1:5">
      <c r="A48" s="16"/>
      <c r="B48" s="4"/>
      <c r="C48" s="4"/>
      <c r="D48" s="22"/>
    </row>
    <row r="49" spans="1:4">
      <c r="A49" s="16"/>
      <c r="D49" s="22"/>
    </row>
    <row r="50" spans="1:4">
      <c r="A50" s="16"/>
      <c r="D50" s="22"/>
    </row>
    <row r="51" spans="1:4">
      <c r="A51" s="16"/>
      <c r="D51" s="22"/>
    </row>
    <row r="52" spans="1:4">
      <c r="A52" s="16"/>
      <c r="D52" s="22"/>
    </row>
    <row r="53" spans="1:4">
      <c r="A53" s="16"/>
      <c r="D53" s="22"/>
    </row>
    <row r="54" spans="1:4">
      <c r="A54" s="16"/>
      <c r="D54" s="22"/>
    </row>
    <row r="55" spans="1:4">
      <c r="A55" s="16"/>
      <c r="D55" s="22"/>
    </row>
    <row r="56" spans="1:4">
      <c r="A56" s="16"/>
      <c r="D56" s="22"/>
    </row>
    <row r="57" spans="1:4">
      <c r="A57" s="16"/>
      <c r="D57" s="22"/>
    </row>
    <row r="58" spans="1:4">
      <c r="A58" s="16"/>
      <c r="D58" s="22"/>
    </row>
    <row r="59" spans="1:4">
      <c r="A59" s="16"/>
      <c r="D59" s="22"/>
    </row>
  </sheetData>
  <mergeCells count="8">
    <mergeCell ref="V1:W1"/>
    <mergeCell ref="B1:C1"/>
    <mergeCell ref="B17:C17"/>
    <mergeCell ref="I1:J1"/>
    <mergeCell ref="N1:O1"/>
    <mergeCell ref="R1:S1"/>
    <mergeCell ref="N13:O13"/>
    <mergeCell ref="R13:S13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" zoomScale="91" zoomScaleNormal="91" workbookViewId="0">
      <selection activeCell="D30" sqref="D30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>
      <c r="A1" s="64"/>
      <c r="B1" s="55"/>
      <c r="C1" s="56" t="s">
        <v>675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final los andes '!G5+'Libro Diario 2023 '!D195+'Libro Diario 2023 '!D113+'Libro Diario 2023 '!D92</f>
        <v>41478639</v>
      </c>
      <c r="D5" s="52">
        <f>+'Libro Diario 2023 '!E87+'Libro Diario 2023 '!E108+'Libro Diario 2023 '!E219</f>
        <v>4797200</v>
      </c>
      <c r="E5" s="52">
        <f>+IF(C5-D5&gt;0,C5-D5,0)</f>
        <v>36681439</v>
      </c>
      <c r="F5" s="52">
        <f>IF((D5-C5)&gt;0,D5-C5,0)</f>
        <v>0</v>
      </c>
      <c r="G5" s="52">
        <f t="shared" ref="G5:H23" si="0">IF(E5&gt;0,E5,0)</f>
        <v>36681439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final los andes '!G6+'Libro Diario 2023 '!D65+'Libro Diario 2023 '!D110+'Libro Diario 2023 '!D123+'Libro Diario 2023 '!D146+'Libro Diario 2023 '!D163+'Libro Diario 2023 '!D210+'Libro Diario 2023 '!D227</f>
        <v>748654800</v>
      </c>
      <c r="D6" s="52">
        <f>+'Libro Diario 2023 '!E51+'Libro Diario 2023 '!E57+'Libro Diario 2023 '!E61+'Libro Diario 2023 '!E74+'Libro Diario 2023 '!E83+'Libro Diario 2023 '!E104+'Libro Diario 2023 '!E118+'Libro Diario 2023 '!E134+'Libro Diario 2023 '!E137+'Libro Diario 2023 '!E161+'Libro Diario 2023 '!E185+'Libro Diario 2023 '!E188+'Libro Diario 2023 '!E193+'Libro Diario 2023 '!E207+'Libro Diario 2023 '!E214+'Libro Diario 2023 '!E225</f>
        <v>662432982</v>
      </c>
      <c r="E6" s="52">
        <f>+IF(C6-D6&gt;0,C6-D6,0)</f>
        <v>86221818</v>
      </c>
      <c r="F6" s="52">
        <f>IF((D6-C6)&gt;0,D6-C6,0)</f>
        <v>0</v>
      </c>
      <c r="G6" s="52">
        <f t="shared" si="0"/>
        <v>86221818</v>
      </c>
      <c r="H6" s="52">
        <f t="shared" si="0"/>
        <v>0</v>
      </c>
      <c r="I6" s="52">
        <v>0</v>
      </c>
      <c r="J6" s="52">
        <v>0</v>
      </c>
    </row>
    <row r="7" spans="1:10">
      <c r="A7" s="65">
        <v>11010</v>
      </c>
      <c r="B7" s="58" t="s">
        <v>242</v>
      </c>
      <c r="C7" s="52">
        <f>+'Libro Diario 2023 '!D133</f>
        <v>30000000</v>
      </c>
      <c r="D7" s="52">
        <f>+'balance 2022 final los andes '!H7</f>
        <v>0</v>
      </c>
      <c r="E7" s="52">
        <f t="shared" ref="E7:E13" si="1">+IF(C7-D7&gt;0,C7-D7,0)</f>
        <v>30000000</v>
      </c>
      <c r="F7" s="52">
        <f t="shared" ref="F7:F13" si="2">IF((D7-C7)&gt;0,D7-C7,0)</f>
        <v>0</v>
      </c>
      <c r="G7" s="52">
        <f t="shared" ref="G7:G13" si="3">IF(E7&gt;0,E7,0)</f>
        <v>30000000</v>
      </c>
      <c r="H7" s="52">
        <f t="shared" ref="H7:H13" si="4">IF(F7&gt;0,F7,0)</f>
        <v>0</v>
      </c>
      <c r="I7" s="52">
        <v>0</v>
      </c>
      <c r="J7" s="52">
        <v>0</v>
      </c>
    </row>
    <row r="8" spans="1:10">
      <c r="A8" s="65">
        <v>11011</v>
      </c>
      <c r="B8" s="58" t="s">
        <v>51</v>
      </c>
      <c r="C8" s="52">
        <f>+'balance 2022 final los andes '!G8</f>
        <v>50000000</v>
      </c>
      <c r="D8" s="52">
        <f>+'Libro Diario 2023 '!E147</f>
        <v>50000000</v>
      </c>
      <c r="E8" s="52">
        <f t="shared" si="1"/>
        <v>0</v>
      </c>
      <c r="F8" s="52">
        <f t="shared" si="2"/>
        <v>0</v>
      </c>
      <c r="G8" s="52">
        <f t="shared" si="3"/>
        <v>0</v>
      </c>
      <c r="H8" s="52">
        <f t="shared" si="4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final los andes '!G9+'Libro Diario 2023 '!D64</f>
        <v>559500000</v>
      </c>
      <c r="D9" s="52">
        <f>+'Libro Diario 2023 '!E111+'Libro Diario 2023 '!E211+'Libro Diario 2023 '!E243</f>
        <v>392900000</v>
      </c>
      <c r="E9" s="52">
        <f t="shared" si="1"/>
        <v>166600000</v>
      </c>
      <c r="F9" s="52">
        <f t="shared" si="2"/>
        <v>0</v>
      </c>
      <c r="G9" s="52">
        <f t="shared" si="3"/>
        <v>166600000</v>
      </c>
      <c r="H9" s="52">
        <f t="shared" si="4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+'Libro Diario 2023 '!D242</f>
        <v>7865000</v>
      </c>
      <c r="D10" s="52">
        <f>+'balance 2022 final los andes '!H10+'Libro Diario 2023 '!E176</f>
        <v>15605000</v>
      </c>
      <c r="E10" s="52">
        <f t="shared" si="1"/>
        <v>0</v>
      </c>
      <c r="F10" s="52">
        <f t="shared" si="2"/>
        <v>7740000</v>
      </c>
      <c r="G10" s="52">
        <f t="shared" si="3"/>
        <v>0</v>
      </c>
      <c r="H10" s="52">
        <f t="shared" si="4"/>
        <v>7740000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final los andes '!G11+'Libro Diario 2023 '!D142+'Libro Diario 2023 '!D196</f>
        <v>594508833.6134454</v>
      </c>
      <c r="D11" s="52">
        <f>+'Libro Diario 2023 '!E69+'Libro Diario 2023 '!E168+'Libro Diario 2023 '!E172</f>
        <v>262548191.155</v>
      </c>
      <c r="E11" s="52">
        <f t="shared" si="1"/>
        <v>331960642.45844543</v>
      </c>
      <c r="F11" s="52">
        <f t="shared" si="2"/>
        <v>0</v>
      </c>
      <c r="G11" s="52">
        <f t="shared" si="3"/>
        <v>331960642.45844543</v>
      </c>
      <c r="H11" s="52">
        <f t="shared" si="4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+'Libro Diario 2023 '!D85</f>
        <v>3600000</v>
      </c>
      <c r="D12" s="52">
        <f>+'Libro Diario 2023 '!E90</f>
        <v>2400000</v>
      </c>
      <c r="E12" s="52">
        <f t="shared" si="1"/>
        <v>1200000</v>
      </c>
      <c r="F12" s="52">
        <f t="shared" si="2"/>
        <v>0</v>
      </c>
      <c r="G12" s="52">
        <f t="shared" si="3"/>
        <v>1200000</v>
      </c>
      <c r="H12" s="52">
        <f t="shared" si="4"/>
        <v>0</v>
      </c>
      <c r="I12" s="52">
        <v>0</v>
      </c>
      <c r="J12" s="52">
        <v>0</v>
      </c>
    </row>
    <row r="13" spans="1:10">
      <c r="A13" s="65">
        <v>11072</v>
      </c>
      <c r="B13" s="58" t="s">
        <v>312</v>
      </c>
      <c r="C13" s="52">
        <f>+'Libro Diario 2023 '!D136</f>
        <v>12000000</v>
      </c>
      <c r="D13" s="52">
        <f>+'Libro Diario 2023 '!E140</f>
        <v>4000000</v>
      </c>
      <c r="E13" s="52">
        <f t="shared" si="1"/>
        <v>8000000</v>
      </c>
      <c r="F13" s="52">
        <f t="shared" si="2"/>
        <v>0</v>
      </c>
      <c r="G13" s="52">
        <f t="shared" si="3"/>
        <v>8000000</v>
      </c>
      <c r="H13" s="52">
        <f t="shared" si="4"/>
        <v>0</v>
      </c>
      <c r="I13" s="52">
        <v>0</v>
      </c>
      <c r="J13" s="52">
        <v>0</v>
      </c>
    </row>
    <row r="14" spans="1:10">
      <c r="A14" s="65">
        <v>12001</v>
      </c>
      <c r="B14" s="58" t="s">
        <v>110</v>
      </c>
      <c r="C14" s="52">
        <f>+'balance 2022 final los andes '!G14+'Libro Diario 2023 '!D72+'Libro Diario 2023 '!D198+'Libro Diario 2023 '!D221+'Libro Diario 2023 '!D217+'Libro Diario 2023 '!D235</f>
        <v>17307377</v>
      </c>
      <c r="D14" s="52">
        <f>+'Libro Diario 2023 '!E93</f>
        <v>10036000</v>
      </c>
      <c r="E14" s="52">
        <f t="shared" ref="E14:E49" si="5">+IF(C14-D14&gt;0,C14-D14,0)</f>
        <v>7271377</v>
      </c>
      <c r="F14" s="52">
        <f t="shared" ref="F14:F49" si="6">IF((D14-C14)&gt;0,D14-C14,0)</f>
        <v>0</v>
      </c>
      <c r="G14" s="52">
        <f t="shared" si="0"/>
        <v>7271377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final los andes '!G15+'Libro Diario 2023 '!D50+'Libro Diario 2023 '!D82+'Libro Diario 2023 '!D86+'Libro Diario 2023 '!D103+'Libro Diario 2023 '!D107+'Libro Diario 2023 '!D117+'Libro Diario 2023 '!D143+'Libro Diario 2023 '!D191</f>
        <v>64882916.386554629</v>
      </c>
      <c r="D15" s="52">
        <f>+'Libro Diario 2023 '!E56+'Libro Diario 2023 '!E73+'Libro Diario 2023 '!E218</f>
        <v>16207000</v>
      </c>
      <c r="E15" s="52">
        <f t="shared" si="5"/>
        <v>48675916.386554629</v>
      </c>
      <c r="F15" s="52">
        <f t="shared" si="6"/>
        <v>0</v>
      </c>
      <c r="G15" s="52">
        <f t="shared" si="0"/>
        <v>48675916.386554629</v>
      </c>
      <c r="H15" s="52">
        <f t="shared" si="0"/>
        <v>0</v>
      </c>
      <c r="I15" s="52">
        <v>0</v>
      </c>
      <c r="J15" s="52">
        <v>0</v>
      </c>
    </row>
    <row r="16" spans="1:10" hidden="1">
      <c r="A16" s="65">
        <v>12003</v>
      </c>
      <c r="B16" s="58" t="s">
        <v>114</v>
      </c>
      <c r="C16" s="52">
        <f>+'balance 2022 final los andes '!G16</f>
        <v>0</v>
      </c>
      <c r="D16" s="52">
        <f>+'balance 2022 final los andes '!H16</f>
        <v>0</v>
      </c>
      <c r="E16" s="52">
        <f t="shared" si="5"/>
        <v>0</v>
      </c>
      <c r="F16" s="52">
        <f t="shared" si="6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0">
      <c r="A17" s="65">
        <v>13001</v>
      </c>
      <c r="B17" s="58" t="s">
        <v>50</v>
      </c>
      <c r="C17" s="52">
        <f>+'balance 2022 final los andes '!G17</f>
        <v>16000000</v>
      </c>
      <c r="D17" s="52">
        <f>+'Libro Diario 2023 '!E206</f>
        <v>16000000</v>
      </c>
      <c r="E17" s="52">
        <f t="shared" si="5"/>
        <v>0</v>
      </c>
      <c r="F17" s="52">
        <f t="shared" si="6"/>
        <v>0</v>
      </c>
      <c r="G17" s="52">
        <f t="shared" si="0"/>
        <v>0</v>
      </c>
      <c r="H17" s="52">
        <f t="shared" si="0"/>
        <v>0</v>
      </c>
      <c r="I17" s="52">
        <v>0</v>
      </c>
      <c r="J17" s="52">
        <v>0</v>
      </c>
    </row>
    <row r="18" spans="1:10">
      <c r="A18" s="65">
        <v>13002</v>
      </c>
      <c r="B18" s="58" t="str">
        <f>+'Libro Diario 2023 '!B199</f>
        <v>ACCIONES SOCIEDAD RRR SPA</v>
      </c>
      <c r="C18" s="52">
        <f>+'Libro Diario 2023 '!D199</f>
        <v>12825000</v>
      </c>
      <c r="D18" s="52">
        <f>+'balance 2022 final los andes '!H18</f>
        <v>0</v>
      </c>
      <c r="E18" s="52">
        <f t="shared" ref="E18" si="7">+IF(C18-D18&gt;0,C18-D18,0)</f>
        <v>12825000</v>
      </c>
      <c r="F18" s="52">
        <f t="shared" ref="F18" si="8">IF((D18-C18)&gt;0,D18-C18,0)</f>
        <v>0</v>
      </c>
      <c r="G18" s="52">
        <f t="shared" ref="G18" si="9">IF(E18&gt;0,E18,0)</f>
        <v>12825000</v>
      </c>
      <c r="H18" s="52">
        <f t="shared" ref="H18" si="10">IF(F18&gt;0,F18,0)</f>
        <v>0</v>
      </c>
      <c r="I18" s="52">
        <v>0</v>
      </c>
      <c r="J18" s="52">
        <v>0</v>
      </c>
    </row>
    <row r="19" spans="1:10">
      <c r="A19" s="65" t="s">
        <v>54</v>
      </c>
      <c r="B19" s="58" t="s">
        <v>55</v>
      </c>
      <c r="C19" s="52">
        <f>+'balance 2022 final los andes '!G19</f>
        <v>317260000</v>
      </c>
      <c r="D19" s="52">
        <f>+'balance 2022 final los andes '!H19</f>
        <v>0</v>
      </c>
      <c r="E19" s="52">
        <f t="shared" si="5"/>
        <v>317260000</v>
      </c>
      <c r="F19" s="52">
        <f t="shared" si="6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</row>
    <row r="20" spans="1:10">
      <c r="A20" s="65" t="s">
        <v>56</v>
      </c>
      <c r="B20" s="58" t="s">
        <v>57</v>
      </c>
      <c r="C20" s="52">
        <f>+'balance 2022 final los andes '!G20</f>
        <v>50000000</v>
      </c>
      <c r="D20" s="52">
        <f>+'balance 2022 final los andes '!H20</f>
        <v>0</v>
      </c>
      <c r="E20" s="52">
        <f t="shared" si="5"/>
        <v>50000000</v>
      </c>
      <c r="F20" s="52">
        <f t="shared" si="6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0">
      <c r="A21" s="65">
        <v>15010</v>
      </c>
      <c r="B21" s="58" t="s">
        <v>104</v>
      </c>
      <c r="C21" s="52">
        <f>+'balance 2022 final los andes '!G21</f>
        <v>0</v>
      </c>
      <c r="D21" s="52">
        <f>+'balance 2022 final los andes '!H21</f>
        <v>0</v>
      </c>
      <c r="E21" s="52">
        <f t="shared" si="5"/>
        <v>0</v>
      </c>
      <c r="F21" s="52">
        <f t="shared" si="6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0">
      <c r="A22" s="65">
        <v>15015</v>
      </c>
      <c r="B22" s="58" t="s">
        <v>58</v>
      </c>
      <c r="C22" s="52">
        <f>+'balance 2022 final los andes '!G22</f>
        <v>7000000</v>
      </c>
      <c r="D22" s="52">
        <f>+'balance 2022 final los andes '!H22</f>
        <v>0</v>
      </c>
      <c r="E22" s="52">
        <f t="shared" si="5"/>
        <v>7000000</v>
      </c>
      <c r="F22" s="52">
        <f t="shared" si="6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0">
      <c r="A23" s="65">
        <v>15020</v>
      </c>
      <c r="B23" s="58" t="s">
        <v>15</v>
      </c>
      <c r="C23" s="52">
        <f>+'Libro Diario 2023 '!D49</f>
        <v>5800000</v>
      </c>
      <c r="D23" s="52">
        <f>+'balance 2022 final los andes '!H23</f>
        <v>0</v>
      </c>
      <c r="E23" s="52">
        <f t="shared" si="5"/>
        <v>5800000</v>
      </c>
      <c r="F23" s="52">
        <f t="shared" si="6"/>
        <v>0</v>
      </c>
      <c r="G23" s="52">
        <f t="shared" si="0"/>
        <v>5800000</v>
      </c>
      <c r="H23" s="52">
        <f t="shared" si="0"/>
        <v>0</v>
      </c>
      <c r="I23" s="52">
        <v>0</v>
      </c>
      <c r="J23" s="52">
        <v>0</v>
      </c>
    </row>
    <row r="24" spans="1:10">
      <c r="A24" s="65">
        <v>15031</v>
      </c>
      <c r="B24" s="58" t="s">
        <v>88</v>
      </c>
      <c r="C24" s="52">
        <f>+'Libro Diario 2023 '!D197+'Libro Diario 2023 '!D102</f>
        <v>36033614</v>
      </c>
      <c r="D24" s="52">
        <f>+'Libro Diario 2023 '!E130</f>
        <v>22000000</v>
      </c>
      <c r="E24" s="52">
        <f t="shared" si="5"/>
        <v>14033614</v>
      </c>
      <c r="F24" s="52">
        <f t="shared" si="6"/>
        <v>0</v>
      </c>
      <c r="G24" s="52">
        <f t="shared" ref="G24:H44" si="11">IF(E24&gt;0,E24,0)</f>
        <v>14033614</v>
      </c>
      <c r="H24" s="52">
        <f t="shared" si="11"/>
        <v>0</v>
      </c>
      <c r="I24" s="52">
        <v>0</v>
      </c>
      <c r="J24" s="52">
        <v>0</v>
      </c>
    </row>
    <row r="25" spans="1:10">
      <c r="A25" s="65">
        <v>15101</v>
      </c>
      <c r="B25" s="58" t="s">
        <v>310</v>
      </c>
      <c r="C25" s="52">
        <f>+'Libro Diario 2023 '!D77</f>
        <v>100000000</v>
      </c>
      <c r="D25" s="52">
        <f>+'balance 2022 final los andes '!H25</f>
        <v>0</v>
      </c>
      <c r="E25" s="52">
        <f t="shared" si="5"/>
        <v>100000000</v>
      </c>
      <c r="F25" s="52">
        <f t="shared" si="6"/>
        <v>0</v>
      </c>
      <c r="G25" s="52">
        <f t="shared" si="11"/>
        <v>100000000</v>
      </c>
      <c r="H25" s="52">
        <f t="shared" si="11"/>
        <v>0</v>
      </c>
      <c r="I25" s="52">
        <v>0</v>
      </c>
      <c r="J25" s="52">
        <v>0</v>
      </c>
    </row>
    <row r="26" spans="1:10" hidden="1">
      <c r="A26" s="65">
        <v>15102</v>
      </c>
      <c r="B26" s="58" t="s">
        <v>106</v>
      </c>
      <c r="C26" s="52">
        <f>+'balance 2022 final los andes '!G26</f>
        <v>0</v>
      </c>
      <c r="D26" s="52">
        <f>+'balance 2022 final los andes '!H26</f>
        <v>0</v>
      </c>
      <c r="E26" s="52">
        <f t="shared" si="5"/>
        <v>0</v>
      </c>
      <c r="F26" s="52">
        <f t="shared" si="6"/>
        <v>0</v>
      </c>
      <c r="G26" s="52">
        <f t="shared" si="11"/>
        <v>0</v>
      </c>
      <c r="H26" s="52">
        <f t="shared" si="11"/>
        <v>0</v>
      </c>
      <c r="I26" s="52">
        <v>0</v>
      </c>
      <c r="J26" s="52">
        <v>0</v>
      </c>
    </row>
    <row r="27" spans="1:10">
      <c r="A27" s="67">
        <v>15410</v>
      </c>
      <c r="B27" s="58" t="s">
        <v>59</v>
      </c>
      <c r="C27" s="52">
        <f>+'Libro Diario 2023 '!D128</f>
        <v>1145833.3333333333</v>
      </c>
      <c r="D27" s="52">
        <f>+'balance 2022 final los andes '!H27+'Libro Diario 2023 '!E121+'Libro Diario 2023 '!E201+'Libro Diario 2023 '!E232</f>
        <v>13014093.666666666</v>
      </c>
      <c r="E27" s="52">
        <f t="shared" si="5"/>
        <v>0</v>
      </c>
      <c r="F27" s="52">
        <f t="shared" si="6"/>
        <v>11868260.333333332</v>
      </c>
      <c r="G27" s="52">
        <f t="shared" si="11"/>
        <v>0</v>
      </c>
      <c r="H27" s="52">
        <f t="shared" si="11"/>
        <v>11868260.333333332</v>
      </c>
      <c r="I27" s="52">
        <v>0</v>
      </c>
      <c r="J27" s="52">
        <v>0</v>
      </c>
    </row>
    <row r="28" spans="1:10">
      <c r="A28" s="67">
        <v>15420</v>
      </c>
      <c r="B28" s="58" t="s">
        <v>91</v>
      </c>
      <c r="C28" s="52">
        <f>+'balance 2022 final los andes '!G28</f>
        <v>0</v>
      </c>
      <c r="D28" s="52">
        <f>+'Libro Diario 2023 '!E233</f>
        <v>27777777.77777778</v>
      </c>
      <c r="E28" s="52">
        <f t="shared" si="5"/>
        <v>0</v>
      </c>
      <c r="F28" s="52">
        <f t="shared" si="6"/>
        <v>27777777.77777778</v>
      </c>
      <c r="G28" s="52">
        <f t="shared" si="11"/>
        <v>0</v>
      </c>
      <c r="H28" s="52">
        <f t="shared" si="11"/>
        <v>27777777.77777778</v>
      </c>
      <c r="I28" s="52">
        <v>0</v>
      </c>
      <c r="J28" s="52">
        <v>0</v>
      </c>
    </row>
    <row r="29" spans="1:10">
      <c r="A29" s="67">
        <v>18101</v>
      </c>
      <c r="B29" s="58" t="s">
        <v>87</v>
      </c>
      <c r="C29" s="52">
        <f>+'Libro Diario 2023 '!D200</f>
        <v>24896397</v>
      </c>
      <c r="D29" s="52">
        <f>+'balance 2022 final los andes '!H29</f>
        <v>0</v>
      </c>
      <c r="E29" s="52">
        <f t="shared" si="5"/>
        <v>24896397</v>
      </c>
      <c r="F29" s="52">
        <f t="shared" si="6"/>
        <v>0</v>
      </c>
      <c r="G29" s="52">
        <f t="shared" si="11"/>
        <v>24896397</v>
      </c>
      <c r="H29" s="52">
        <f t="shared" si="11"/>
        <v>0</v>
      </c>
      <c r="I29" s="52">
        <v>0</v>
      </c>
      <c r="J29" s="52">
        <v>0</v>
      </c>
    </row>
    <row r="30" spans="1:10">
      <c r="A30" s="67">
        <v>20001</v>
      </c>
      <c r="B30" s="58" t="s">
        <v>98</v>
      </c>
      <c r="C30" s="52">
        <f>+'Libro Diario 2023 '!D183</f>
        <v>21400000</v>
      </c>
      <c r="D30" s="52">
        <f>+'balance 2022 final los andes '!H30+'Libro Diario 2023 '!E205</f>
        <v>76211956</v>
      </c>
      <c r="E30" s="52">
        <f t="shared" si="5"/>
        <v>0</v>
      </c>
      <c r="F30" s="52">
        <f t="shared" si="6"/>
        <v>54811956</v>
      </c>
      <c r="G30" s="52">
        <f t="shared" si="11"/>
        <v>0</v>
      </c>
      <c r="H30" s="52">
        <f t="shared" si="11"/>
        <v>54811956</v>
      </c>
      <c r="I30" s="52">
        <v>0</v>
      </c>
      <c r="J30" s="52">
        <v>0</v>
      </c>
    </row>
    <row r="31" spans="1:10">
      <c r="A31" s="67">
        <v>20021</v>
      </c>
      <c r="B31" s="58" t="s">
        <v>99</v>
      </c>
      <c r="C31" s="52">
        <f>+'Libro Diario 2023 '!D80</f>
        <v>23267787.557504077</v>
      </c>
      <c r="D31" s="52">
        <f>+'Libro Diario 2023 '!E78</f>
        <v>100000000</v>
      </c>
      <c r="E31" s="52">
        <f t="shared" si="5"/>
        <v>0</v>
      </c>
      <c r="F31" s="52">
        <f t="shared" si="6"/>
        <v>76732212.442495927</v>
      </c>
      <c r="G31" s="52">
        <f t="shared" si="11"/>
        <v>0</v>
      </c>
      <c r="H31" s="52">
        <f t="shared" si="11"/>
        <v>76732212.442495927</v>
      </c>
      <c r="I31" s="52">
        <v>0</v>
      </c>
      <c r="J31" s="52">
        <v>0</v>
      </c>
    </row>
    <row r="32" spans="1:10">
      <c r="A32" s="67">
        <v>20151</v>
      </c>
      <c r="B32" s="58" t="s">
        <v>60</v>
      </c>
      <c r="C32" s="52">
        <f>+'Libro Diario 2023 '!D71+'Libro Diario 2023 '!D53+'Libro Diario 2023 '!D216</f>
        <v>114608000</v>
      </c>
      <c r="D32" s="52">
        <f>+'balance 2022 final los andes '!H32+'Libro Diario 2023 '!E67+'Libro Diario 2023 '!E125+'Libro Diario 2023 '!E165+'Libro Diario 2023 '!E203</f>
        <v>114925694</v>
      </c>
      <c r="E32" s="52">
        <f t="shared" si="5"/>
        <v>0</v>
      </c>
      <c r="F32" s="52">
        <f t="shared" si="6"/>
        <v>317694</v>
      </c>
      <c r="G32" s="52">
        <f t="shared" si="11"/>
        <v>0</v>
      </c>
      <c r="H32" s="52">
        <f t="shared" si="11"/>
        <v>317694</v>
      </c>
      <c r="I32" s="52">
        <v>0</v>
      </c>
      <c r="J32" s="52">
        <v>0</v>
      </c>
    </row>
    <row r="33" spans="1:10">
      <c r="A33" s="65" t="s">
        <v>61</v>
      </c>
      <c r="B33" s="58" t="s">
        <v>6</v>
      </c>
      <c r="C33" s="52">
        <f>+'Libro Diario 2023 '!D187+'Libro Diario 2023 '!D213</f>
        <v>262410000</v>
      </c>
      <c r="D33" s="52">
        <f>+'balance 2022 final los andes '!H33+'Libro Diario 2023 '!E144+'Libro Diario 2023 '!E192+'Libro Diario 2023 '!E202</f>
        <v>457016974</v>
      </c>
      <c r="E33" s="52">
        <f t="shared" si="5"/>
        <v>0</v>
      </c>
      <c r="F33" s="52">
        <f t="shared" si="6"/>
        <v>194606974</v>
      </c>
      <c r="G33" s="52">
        <f t="shared" si="11"/>
        <v>0</v>
      </c>
      <c r="H33" s="52">
        <f t="shared" si="11"/>
        <v>194606974</v>
      </c>
      <c r="I33" s="52">
        <v>0</v>
      </c>
      <c r="J33" s="52">
        <v>0</v>
      </c>
    </row>
    <row r="34" spans="1:10">
      <c r="A34" s="65">
        <v>21002</v>
      </c>
      <c r="B34" s="58" t="s">
        <v>62</v>
      </c>
      <c r="C34" s="52">
        <f>+'balance 2022 final los andes '!G34</f>
        <v>0</v>
      </c>
      <c r="D34" s="52">
        <f>+'balance 2022 final los andes '!H34</f>
        <v>15478000</v>
      </c>
      <c r="E34" s="52">
        <f t="shared" si="5"/>
        <v>0</v>
      </c>
      <c r="F34" s="52">
        <f t="shared" si="6"/>
        <v>15478000</v>
      </c>
      <c r="G34" s="52">
        <f t="shared" si="11"/>
        <v>0</v>
      </c>
      <c r="H34" s="52">
        <f t="shared" si="11"/>
        <v>15478000</v>
      </c>
      <c r="I34" s="52">
        <v>0</v>
      </c>
      <c r="J34" s="52">
        <v>0</v>
      </c>
    </row>
    <row r="35" spans="1:10">
      <c r="A35" s="65">
        <v>22001</v>
      </c>
      <c r="B35" s="58" t="s">
        <v>115</v>
      </c>
      <c r="C35" s="52">
        <f>+'Libro Diario 2023 '!D159</f>
        <v>28090800</v>
      </c>
      <c r="D35" s="52">
        <f>+'Libro Diario 2023 '!E153</f>
        <v>28090800</v>
      </c>
      <c r="E35" s="52">
        <f t="shared" si="5"/>
        <v>0</v>
      </c>
      <c r="F35" s="52">
        <f t="shared" si="6"/>
        <v>0</v>
      </c>
      <c r="G35" s="52">
        <f t="shared" si="11"/>
        <v>0</v>
      </c>
      <c r="H35" s="52">
        <f t="shared" si="11"/>
        <v>0</v>
      </c>
      <c r="I35" s="52">
        <v>0</v>
      </c>
      <c r="J35" s="52">
        <v>0</v>
      </c>
    </row>
    <row r="36" spans="1:10">
      <c r="A36" s="65">
        <v>22002</v>
      </c>
      <c r="B36" s="58" t="s">
        <v>108</v>
      </c>
      <c r="C36" s="52">
        <f>+'Libro Diario 2023 '!D160+'Libro Diario 2023 '!D60</f>
        <v>6960432</v>
      </c>
      <c r="D36" s="52">
        <f>+'balance 2022 final los andes '!H36+'Libro Diario 2023 '!E152</f>
        <v>8958000</v>
      </c>
      <c r="E36" s="52">
        <f t="shared" si="5"/>
        <v>0</v>
      </c>
      <c r="F36" s="52">
        <f t="shared" si="6"/>
        <v>1997568</v>
      </c>
      <c r="G36" s="52">
        <f t="shared" si="11"/>
        <v>0</v>
      </c>
      <c r="H36" s="52">
        <f t="shared" si="11"/>
        <v>1997568</v>
      </c>
      <c r="I36" s="52">
        <v>0</v>
      </c>
      <c r="J36" s="52">
        <v>0</v>
      </c>
    </row>
    <row r="37" spans="1:10">
      <c r="A37" s="65">
        <v>22051</v>
      </c>
      <c r="B37" s="58" t="s">
        <v>65</v>
      </c>
      <c r="C37" s="52">
        <f>+'Libro Diario 2023 '!D55</f>
        <v>110000</v>
      </c>
      <c r="D37" s="52">
        <f>+'balance 2022 final los andes '!H37</f>
        <v>110000</v>
      </c>
      <c r="E37" s="52">
        <f t="shared" si="5"/>
        <v>0</v>
      </c>
      <c r="F37" s="52">
        <f t="shared" si="6"/>
        <v>0</v>
      </c>
      <c r="G37" s="52">
        <f t="shared" si="11"/>
        <v>0</v>
      </c>
      <c r="H37" s="52">
        <f t="shared" si="11"/>
        <v>0</v>
      </c>
      <c r="I37" s="52">
        <v>0</v>
      </c>
      <c r="J37" s="52">
        <v>0</v>
      </c>
    </row>
    <row r="38" spans="1:10">
      <c r="A38" s="66">
        <v>22070</v>
      </c>
      <c r="B38" s="58" t="s">
        <v>282</v>
      </c>
      <c r="C38" s="52">
        <f>+'Libro Diario 2023 '!D99+'Libro Diario 2023 '!D224</f>
        <v>125000000</v>
      </c>
      <c r="D38" s="52">
        <f>+'Libro Diario 2023 '!E97</f>
        <v>171950049.99999997</v>
      </c>
      <c r="E38" s="52">
        <f t="shared" ref="E38" si="12">+IF(C38-D38&gt;0,C38-D38,0)</f>
        <v>0</v>
      </c>
      <c r="F38" s="52">
        <f t="shared" ref="F38" si="13">IF((D38-C38)&gt;0,D38-C38,0)</f>
        <v>46950049.99999997</v>
      </c>
      <c r="G38" s="52">
        <f t="shared" ref="G38" si="14">IF(E38&gt;0,E38,0)</f>
        <v>0</v>
      </c>
      <c r="H38" s="52">
        <f t="shared" ref="H38" si="15">IF(F38&gt;0,F38,0)</f>
        <v>46950049.99999997</v>
      </c>
      <c r="I38" s="52">
        <v>0</v>
      </c>
      <c r="J38" s="52">
        <v>0</v>
      </c>
    </row>
    <row r="39" spans="1:10">
      <c r="A39" s="66">
        <v>23001</v>
      </c>
      <c r="B39" s="58" t="s">
        <v>95</v>
      </c>
      <c r="C39" s="52">
        <f>+'balance 2022 final los andes '!G39</f>
        <v>0</v>
      </c>
      <c r="D39" s="52">
        <f>+'Libro Diario 2023 '!E164</f>
        <v>1000000</v>
      </c>
      <c r="E39" s="52">
        <f t="shared" si="5"/>
        <v>0</v>
      </c>
      <c r="F39" s="52">
        <f t="shared" si="6"/>
        <v>1000000</v>
      </c>
      <c r="G39" s="52">
        <f t="shared" si="11"/>
        <v>0</v>
      </c>
      <c r="H39" s="52">
        <f t="shared" si="11"/>
        <v>1000000</v>
      </c>
      <c r="I39" s="52">
        <v>0</v>
      </c>
      <c r="J39" s="52">
        <v>0</v>
      </c>
    </row>
    <row r="40" spans="1:10">
      <c r="A40" s="67">
        <v>24001</v>
      </c>
      <c r="B40" s="58" t="s">
        <v>66</v>
      </c>
      <c r="C40" s="52">
        <f>+'balance 2022 final los andes '!G40</f>
        <v>0</v>
      </c>
      <c r="D40" s="52">
        <f>+'balance 2022 final los andes '!H40</f>
        <v>0</v>
      </c>
      <c r="E40" s="52">
        <f t="shared" si="5"/>
        <v>0</v>
      </c>
      <c r="F40" s="52">
        <f t="shared" si="6"/>
        <v>0</v>
      </c>
      <c r="G40" s="52">
        <f t="shared" si="11"/>
        <v>0</v>
      </c>
      <c r="H40" s="52">
        <f t="shared" si="11"/>
        <v>0</v>
      </c>
      <c r="I40" s="52">
        <v>0</v>
      </c>
      <c r="J40" s="52">
        <v>0</v>
      </c>
    </row>
    <row r="41" spans="1:10">
      <c r="A41" s="66">
        <v>24002</v>
      </c>
      <c r="B41" s="58" t="s">
        <v>103</v>
      </c>
      <c r="C41" s="52">
        <f>+'balance 2022 final los andes '!G41</f>
        <v>0</v>
      </c>
      <c r="D41" s="52">
        <f>+'Libro Diario 2023 '!E181</f>
        <v>790000</v>
      </c>
      <c r="E41" s="52">
        <f t="shared" si="5"/>
        <v>0</v>
      </c>
      <c r="F41" s="52">
        <f t="shared" si="6"/>
        <v>790000</v>
      </c>
      <c r="G41" s="52">
        <f t="shared" si="11"/>
        <v>0</v>
      </c>
      <c r="H41" s="52">
        <f t="shared" si="11"/>
        <v>790000</v>
      </c>
      <c r="I41" s="52">
        <v>0</v>
      </c>
      <c r="J41" s="52">
        <v>0</v>
      </c>
    </row>
    <row r="42" spans="1:10">
      <c r="A42" s="66">
        <v>24010</v>
      </c>
      <c r="B42" s="58" t="s">
        <v>111</v>
      </c>
      <c r="C42" s="52">
        <f>+'Libro Diario 2023 '!D54</f>
        <v>2556000</v>
      </c>
      <c r="D42" s="52">
        <f>+'balance 2022 final los andes '!H42+'Libro Diario 2023 '!E204+'Libro Diario 2023 '!E222</f>
        <v>2759756</v>
      </c>
      <c r="E42" s="52">
        <f t="shared" si="5"/>
        <v>0</v>
      </c>
      <c r="F42" s="52">
        <f t="shared" si="6"/>
        <v>203756</v>
      </c>
      <c r="G42" s="52">
        <f t="shared" si="11"/>
        <v>0</v>
      </c>
      <c r="H42" s="52">
        <f t="shared" si="11"/>
        <v>203756</v>
      </c>
      <c r="I42" s="52">
        <v>0</v>
      </c>
      <c r="J42" s="52">
        <v>0</v>
      </c>
    </row>
    <row r="43" spans="1:10">
      <c r="A43" s="65">
        <v>24015</v>
      </c>
      <c r="B43" s="58" t="s">
        <v>64</v>
      </c>
      <c r="C43" s="52">
        <f>+'Libro Diario 2023 '!D156</f>
        <v>950499.99999999988</v>
      </c>
      <c r="D43" s="52">
        <f>+'balance 2022 final los andes '!H43+'Libro Diario 2023 '!E239</f>
        <v>2165500</v>
      </c>
      <c r="E43" s="52">
        <f t="shared" si="5"/>
        <v>0</v>
      </c>
      <c r="F43" s="52">
        <f t="shared" si="6"/>
        <v>1215000</v>
      </c>
      <c r="G43" s="52">
        <f t="shared" si="11"/>
        <v>0</v>
      </c>
      <c r="H43" s="52">
        <f t="shared" si="11"/>
        <v>1215000</v>
      </c>
      <c r="I43" s="52">
        <v>0</v>
      </c>
      <c r="J43" s="52">
        <v>0</v>
      </c>
    </row>
    <row r="44" spans="1:10">
      <c r="A44" s="66">
        <v>25001</v>
      </c>
      <c r="B44" s="58" t="s">
        <v>96</v>
      </c>
      <c r="C44" s="52">
        <f>+'balance 2022 final los andes '!G44</f>
        <v>0</v>
      </c>
      <c r="D44" s="52">
        <f>+'balance 2022 final los andes '!H44</f>
        <v>0</v>
      </c>
      <c r="E44" s="52">
        <f t="shared" si="5"/>
        <v>0</v>
      </c>
      <c r="F44" s="52">
        <f t="shared" si="6"/>
        <v>0</v>
      </c>
      <c r="G44" s="52">
        <f t="shared" si="11"/>
        <v>0</v>
      </c>
      <c r="H44" s="52">
        <f t="shared" si="11"/>
        <v>0</v>
      </c>
      <c r="I44" s="52">
        <v>0</v>
      </c>
      <c r="J44" s="52">
        <v>0</v>
      </c>
    </row>
    <row r="45" spans="1:10">
      <c r="A45" s="65">
        <v>33001</v>
      </c>
      <c r="B45" s="58" t="s">
        <v>78</v>
      </c>
      <c r="C45" s="52">
        <f>+'balance 2022 final los andes '!G45</f>
        <v>0</v>
      </c>
      <c r="D45" s="52">
        <f>+'balance 2022 final los andes '!H45</f>
        <v>200000000</v>
      </c>
      <c r="E45" s="52">
        <f t="shared" si="5"/>
        <v>0</v>
      </c>
      <c r="F45" s="52">
        <f t="shared" si="6"/>
        <v>200000000</v>
      </c>
      <c r="G45" s="52">
        <f t="shared" ref="G45:H49" si="16">IF(E45&gt;0,E45,0)</f>
        <v>0</v>
      </c>
      <c r="H45" s="52">
        <f t="shared" si="16"/>
        <v>200000000</v>
      </c>
      <c r="I45" s="52">
        <v>0</v>
      </c>
      <c r="J45" s="52">
        <v>0</v>
      </c>
    </row>
    <row r="46" spans="1:10">
      <c r="A46" s="65">
        <v>33002</v>
      </c>
      <c r="B46" s="58" t="s">
        <v>79</v>
      </c>
      <c r="C46" s="52">
        <f>+'balance 2022 final los andes '!G46</f>
        <v>40000000</v>
      </c>
      <c r="D46" s="52">
        <f>+'balance 2022 final los andes '!H46</f>
        <v>0</v>
      </c>
      <c r="E46" s="52">
        <f t="shared" si="5"/>
        <v>40000000</v>
      </c>
      <c r="F46" s="52">
        <f t="shared" si="6"/>
        <v>0</v>
      </c>
      <c r="G46" s="52">
        <f t="shared" si="16"/>
        <v>40000000</v>
      </c>
      <c r="H46" s="52">
        <f t="shared" si="16"/>
        <v>0</v>
      </c>
      <c r="I46" s="52">
        <v>0</v>
      </c>
      <c r="J46" s="52">
        <v>0</v>
      </c>
    </row>
    <row r="47" spans="1:10">
      <c r="A47" s="65">
        <v>33003</v>
      </c>
      <c r="B47" s="58" t="s">
        <v>80</v>
      </c>
      <c r="C47" s="52">
        <f>+'balance 2022 final los andes '!G47</f>
        <v>60000000</v>
      </c>
      <c r="D47" s="52">
        <f>+'Libro Diario 2023 '!E228</f>
        <v>60000000</v>
      </c>
      <c r="E47" s="52">
        <f t="shared" si="5"/>
        <v>0</v>
      </c>
      <c r="F47" s="52">
        <f t="shared" si="6"/>
        <v>0</v>
      </c>
      <c r="G47" s="52">
        <f t="shared" si="16"/>
        <v>0</v>
      </c>
      <c r="H47" s="52">
        <f t="shared" si="16"/>
        <v>0</v>
      </c>
      <c r="I47" s="52">
        <v>0</v>
      </c>
      <c r="J47" s="52">
        <v>0</v>
      </c>
    </row>
    <row r="48" spans="1:10">
      <c r="A48" s="65">
        <v>33011</v>
      </c>
      <c r="B48" s="58" t="s">
        <v>67</v>
      </c>
      <c r="C48" s="52">
        <f>+'balance 2022 final los andes '!G48</f>
        <v>0</v>
      </c>
      <c r="D48" s="52">
        <f>+'balance 2022 final los andes '!H48</f>
        <v>112500000</v>
      </c>
      <c r="E48" s="52">
        <f t="shared" si="5"/>
        <v>0</v>
      </c>
      <c r="F48" s="52">
        <f t="shared" si="6"/>
        <v>112500000</v>
      </c>
      <c r="G48" s="52">
        <f t="shared" si="16"/>
        <v>0</v>
      </c>
      <c r="H48" s="52">
        <f t="shared" si="16"/>
        <v>112500000</v>
      </c>
      <c r="I48" s="52">
        <v>0</v>
      </c>
      <c r="J48" s="52">
        <v>0</v>
      </c>
    </row>
    <row r="49" spans="1:10">
      <c r="A49" s="67">
        <v>34001</v>
      </c>
      <c r="B49" s="58" t="s">
        <v>82</v>
      </c>
      <c r="C49" s="52">
        <f>+'balance 2022 final los andes '!G49</f>
        <v>25000000</v>
      </c>
      <c r="D49" s="52">
        <f>+'Libro Diario 2023 '!E100</f>
        <v>25000000</v>
      </c>
      <c r="E49" s="52">
        <f t="shared" si="5"/>
        <v>0</v>
      </c>
      <c r="F49" s="52">
        <f t="shared" si="6"/>
        <v>0</v>
      </c>
      <c r="G49" s="52">
        <f t="shared" si="16"/>
        <v>0</v>
      </c>
      <c r="H49" s="52">
        <f t="shared" si="16"/>
        <v>0</v>
      </c>
      <c r="I49" s="52">
        <v>0</v>
      </c>
      <c r="J49" s="52">
        <v>0</v>
      </c>
    </row>
    <row r="50" spans="1:10">
      <c r="A50" s="67">
        <v>35001</v>
      </c>
      <c r="B50" s="58" t="s">
        <v>237</v>
      </c>
      <c r="C50" s="52">
        <f>+'Libro Diario 2023 '!D45</f>
        <v>573166833.33333325</v>
      </c>
      <c r="D50" s="52">
        <f>+'balance 2022 final los andes '!H76</f>
        <v>573166833.33333337</v>
      </c>
      <c r="E50" s="52">
        <f t="shared" ref="E50:E51" si="17">+IF(C50-D50&gt;0,C50-D50,0)</f>
        <v>0</v>
      </c>
      <c r="F50" s="52">
        <f t="shared" ref="F50:F51" si="18">IF((D50-C50)&gt;0,D50-C50,0)</f>
        <v>1.1920928955078125E-7</v>
      </c>
      <c r="G50" s="52">
        <f t="shared" ref="G50:G51" si="19">IF(E50&gt;0,E50,0)</f>
        <v>0</v>
      </c>
      <c r="H50" s="52">
        <f t="shared" ref="H50:H51" si="20">IF(F50&gt;0,F50,0)</f>
        <v>1.1920928955078125E-7</v>
      </c>
      <c r="I50" s="52">
        <v>0</v>
      </c>
      <c r="J50" s="52">
        <v>0</v>
      </c>
    </row>
    <row r="51" spans="1:10">
      <c r="A51" s="67">
        <v>36001</v>
      </c>
      <c r="B51" s="58" t="s">
        <v>212</v>
      </c>
      <c r="C51" s="52">
        <f>+'Libro Diario 2023 '!D96</f>
        <v>171950049.99999997</v>
      </c>
      <c r="D51" s="52">
        <f>+'Libro Diario 2023 '!E46</f>
        <v>573166833.33333325</v>
      </c>
      <c r="E51" s="52">
        <f t="shared" si="17"/>
        <v>0</v>
      </c>
      <c r="F51" s="52">
        <f t="shared" si="18"/>
        <v>401216783.33333325</v>
      </c>
      <c r="G51" s="52">
        <f t="shared" si="19"/>
        <v>0</v>
      </c>
      <c r="H51" s="52">
        <f t="shared" si="20"/>
        <v>401216783.33333325</v>
      </c>
      <c r="I51" s="52">
        <v>0</v>
      </c>
      <c r="J51" s="52">
        <v>0</v>
      </c>
    </row>
    <row r="52" spans="1:10">
      <c r="A52" s="67">
        <v>41001</v>
      </c>
      <c r="B52" s="58" t="s">
        <v>101</v>
      </c>
      <c r="C52" s="52">
        <f>+'Libro Diario 2023 '!D68</f>
        <v>250000000</v>
      </c>
      <c r="D52" s="52"/>
      <c r="E52" s="52">
        <f t="shared" ref="E52" si="21">IF(C52&gt;D52,(C52-D52),0)</f>
        <v>250000000</v>
      </c>
      <c r="F52" s="52">
        <f t="shared" ref="F52" si="22">IF(D52&gt;C52,D52-C52,0)</f>
        <v>0</v>
      </c>
      <c r="G52" s="52"/>
      <c r="H52" s="52"/>
      <c r="I52" s="52">
        <f t="shared" ref="I52" si="23">IF(E52&gt;F52,E52,0)</f>
        <v>250000000</v>
      </c>
      <c r="J52" s="52">
        <v>0</v>
      </c>
    </row>
    <row r="53" spans="1:10">
      <c r="A53" s="67">
        <v>42001</v>
      </c>
      <c r="B53" s="58" t="s">
        <v>68</v>
      </c>
      <c r="C53" s="52">
        <f>+'Libro Diario 2023 '!D150</f>
        <v>34680000</v>
      </c>
      <c r="D53" s="52">
        <f>+'Libro Diario 2023 '!E157</f>
        <v>950499.99999999988</v>
      </c>
      <c r="E53" s="52">
        <f t="shared" ref="E53:E79" si="24">IF(C53&gt;D53,(C53-D53),0)</f>
        <v>33729500</v>
      </c>
      <c r="F53" s="52">
        <f t="shared" ref="F53:F79" si="25">IF(D53&gt;C53,D53-C53,0)</f>
        <v>0</v>
      </c>
      <c r="G53" s="52"/>
      <c r="H53" s="52"/>
      <c r="I53" s="52">
        <f t="shared" ref="I53:I79" si="26">IF(E53&gt;F53,E53,0)</f>
        <v>33729500</v>
      </c>
      <c r="J53" s="52">
        <f t="shared" ref="J53:J79" si="27">IF(F53&gt;E53,F53,0)</f>
        <v>0</v>
      </c>
    </row>
    <row r="54" spans="1:10">
      <c r="A54" s="67">
        <v>42002</v>
      </c>
      <c r="B54" s="58" t="s">
        <v>83</v>
      </c>
      <c r="C54" s="52">
        <f>+'Libro Diario 2023 '!D151</f>
        <v>1734000</v>
      </c>
      <c r="D54" s="52"/>
      <c r="E54" s="52">
        <f t="shared" si="24"/>
        <v>1734000</v>
      </c>
      <c r="F54" s="52">
        <f t="shared" si="25"/>
        <v>0</v>
      </c>
      <c r="G54" s="52"/>
      <c r="H54" s="52"/>
      <c r="I54" s="52">
        <f t="shared" si="26"/>
        <v>1734000</v>
      </c>
      <c r="J54" s="52">
        <f t="shared" si="27"/>
        <v>0</v>
      </c>
    </row>
    <row r="55" spans="1:10">
      <c r="A55" s="67">
        <v>42011</v>
      </c>
      <c r="B55" s="58" t="s">
        <v>182</v>
      </c>
      <c r="C55" s="52">
        <f>+'Libro Diario 2023 '!D238</f>
        <v>1215000</v>
      </c>
      <c r="D55" s="52"/>
      <c r="E55" s="52">
        <f t="shared" si="24"/>
        <v>1215000</v>
      </c>
      <c r="F55" s="52">
        <f t="shared" si="25"/>
        <v>0</v>
      </c>
      <c r="G55" s="52"/>
      <c r="H55" s="52"/>
      <c r="I55" s="52">
        <f t="shared" si="26"/>
        <v>1215000</v>
      </c>
      <c r="J55" s="52">
        <f t="shared" si="27"/>
        <v>0</v>
      </c>
    </row>
    <row r="56" spans="1:10" hidden="1">
      <c r="A56" s="67">
        <v>42051</v>
      </c>
      <c r="B56" s="58" t="s">
        <v>69</v>
      </c>
      <c r="C56" s="52"/>
      <c r="D56" s="52"/>
      <c r="E56" s="52">
        <f t="shared" si="24"/>
        <v>0</v>
      </c>
      <c r="F56" s="52">
        <f t="shared" si="25"/>
        <v>0</v>
      </c>
      <c r="G56" s="52"/>
      <c r="H56" s="52"/>
      <c r="I56" s="52">
        <f t="shared" si="26"/>
        <v>0</v>
      </c>
      <c r="J56" s="52">
        <f t="shared" si="27"/>
        <v>0</v>
      </c>
    </row>
    <row r="57" spans="1:10">
      <c r="A57" s="67">
        <v>43001</v>
      </c>
      <c r="B57" s="58" t="s">
        <v>102</v>
      </c>
      <c r="C57" s="52">
        <f>+'Libro Diario 2023 '!D180</f>
        <v>790000</v>
      </c>
      <c r="D57" s="52"/>
      <c r="E57" s="52">
        <f t="shared" si="24"/>
        <v>790000</v>
      </c>
      <c r="F57" s="52">
        <f t="shared" si="25"/>
        <v>0</v>
      </c>
      <c r="G57" s="52"/>
      <c r="H57" s="52"/>
      <c r="I57" s="52">
        <f t="shared" si="26"/>
        <v>790000</v>
      </c>
      <c r="J57" s="52">
        <f t="shared" si="27"/>
        <v>0</v>
      </c>
    </row>
    <row r="58" spans="1:10">
      <c r="A58" s="67">
        <v>43002</v>
      </c>
      <c r="B58" s="58" t="s">
        <v>254</v>
      </c>
      <c r="C58" s="52">
        <f>+'Libro Diario 2023 '!D106</f>
        <v>280000</v>
      </c>
      <c r="D58" s="52"/>
      <c r="E58" s="52">
        <f t="shared" si="24"/>
        <v>280000</v>
      </c>
      <c r="F58" s="52">
        <f t="shared" si="25"/>
        <v>0</v>
      </c>
      <c r="G58" s="52"/>
      <c r="H58" s="52"/>
      <c r="I58" s="52">
        <f t="shared" si="26"/>
        <v>280000</v>
      </c>
      <c r="J58" s="52">
        <f t="shared" si="27"/>
        <v>0</v>
      </c>
    </row>
    <row r="59" spans="1:10">
      <c r="A59" s="67">
        <v>43003</v>
      </c>
      <c r="B59" s="58" t="s">
        <v>313</v>
      </c>
      <c r="C59" s="52">
        <f>+'Libro Diario 2023 '!D190</f>
        <v>2000000</v>
      </c>
      <c r="D59" s="52"/>
      <c r="E59" s="52">
        <f t="shared" ref="E59" si="28">IF(C59&gt;D59,(C59-D59),0)</f>
        <v>2000000</v>
      </c>
      <c r="F59" s="52">
        <f t="shared" ref="F59" si="29">IF(D59&gt;C59,D59-C59,0)</f>
        <v>0</v>
      </c>
      <c r="G59" s="52"/>
      <c r="H59" s="52"/>
      <c r="I59" s="52">
        <f t="shared" ref="I59" si="30">IF(E59&gt;F59,E59,0)</f>
        <v>2000000</v>
      </c>
      <c r="J59" s="52">
        <f t="shared" ref="J59" si="31">IF(F59&gt;E59,F59,0)</f>
        <v>0</v>
      </c>
    </row>
    <row r="60" spans="1:10" hidden="1">
      <c r="A60" s="67" t="s">
        <v>70</v>
      </c>
      <c r="B60" s="58" t="s">
        <v>71</v>
      </c>
      <c r="C60" s="52"/>
      <c r="D60" s="52"/>
      <c r="E60" s="52">
        <f t="shared" si="24"/>
        <v>0</v>
      </c>
      <c r="F60" s="52">
        <f t="shared" si="25"/>
        <v>0</v>
      </c>
      <c r="G60" s="52"/>
      <c r="H60" s="52"/>
      <c r="I60" s="52">
        <f t="shared" si="26"/>
        <v>0</v>
      </c>
      <c r="J60" s="52">
        <f t="shared" si="27"/>
        <v>0</v>
      </c>
    </row>
    <row r="61" spans="1:10">
      <c r="A61" s="67" t="s">
        <v>72</v>
      </c>
      <c r="B61" s="58" t="s">
        <v>73</v>
      </c>
      <c r="C61" s="52"/>
      <c r="D61" s="52"/>
      <c r="E61" s="52">
        <f t="shared" si="24"/>
        <v>0</v>
      </c>
      <c r="F61" s="52">
        <f t="shared" si="25"/>
        <v>0</v>
      </c>
      <c r="G61" s="52"/>
      <c r="H61" s="52"/>
      <c r="I61" s="52">
        <f t="shared" si="26"/>
        <v>0</v>
      </c>
      <c r="J61" s="52">
        <f t="shared" si="27"/>
        <v>0</v>
      </c>
    </row>
    <row r="62" spans="1:10" hidden="1">
      <c r="A62" s="67">
        <v>45101</v>
      </c>
      <c r="B62" s="58" t="s">
        <v>74</v>
      </c>
      <c r="C62" s="52"/>
      <c r="D62" s="52"/>
      <c r="E62" s="52">
        <f t="shared" si="24"/>
        <v>0</v>
      </c>
      <c r="F62" s="52">
        <f t="shared" si="25"/>
        <v>0</v>
      </c>
      <c r="G62" s="52"/>
      <c r="H62" s="52"/>
      <c r="I62" s="52">
        <f t="shared" si="26"/>
        <v>0</v>
      </c>
      <c r="J62" s="52">
        <f t="shared" si="27"/>
        <v>0</v>
      </c>
    </row>
    <row r="63" spans="1:10" hidden="1">
      <c r="A63" s="67">
        <v>46001</v>
      </c>
      <c r="B63" s="58" t="s">
        <v>193</v>
      </c>
      <c r="C63" s="52"/>
      <c r="D63" s="52"/>
      <c r="E63" s="52">
        <f t="shared" si="24"/>
        <v>0</v>
      </c>
      <c r="F63" s="52">
        <f t="shared" si="25"/>
        <v>0</v>
      </c>
      <c r="G63" s="52"/>
      <c r="H63" s="52"/>
      <c r="I63" s="52">
        <f t="shared" si="26"/>
        <v>0</v>
      </c>
      <c r="J63" s="52">
        <f t="shared" si="27"/>
        <v>0</v>
      </c>
    </row>
    <row r="64" spans="1:10">
      <c r="A64" s="67">
        <v>47141</v>
      </c>
      <c r="B64" s="58" t="s">
        <v>85</v>
      </c>
      <c r="C64" s="52">
        <f>+'Libro Diario 2023 '!D175</f>
        <v>7740000</v>
      </c>
      <c r="D64" s="52"/>
      <c r="E64" s="52">
        <f t="shared" si="24"/>
        <v>7740000</v>
      </c>
      <c r="F64" s="52">
        <f t="shared" si="25"/>
        <v>0</v>
      </c>
      <c r="G64" s="52"/>
      <c r="H64" s="52"/>
      <c r="I64" s="52">
        <f t="shared" si="26"/>
        <v>7740000</v>
      </c>
      <c r="J64" s="52">
        <f t="shared" si="27"/>
        <v>0</v>
      </c>
    </row>
    <row r="65" spans="1:10">
      <c r="A65" s="67">
        <v>47142</v>
      </c>
      <c r="B65" s="58" t="s">
        <v>687</v>
      </c>
      <c r="C65" s="52">
        <f>+'Libro Diario 2023 '!D241</f>
        <v>5135000</v>
      </c>
      <c r="D65" s="52"/>
      <c r="E65" s="52">
        <f t="shared" ref="E65" si="32">IF(C65&gt;D65,(C65-D65),0)</f>
        <v>5135000</v>
      </c>
      <c r="F65" s="52">
        <f t="shared" ref="F65" si="33">IF(D65&gt;C65,D65-C65,0)</f>
        <v>0</v>
      </c>
      <c r="G65" s="52"/>
      <c r="H65" s="52"/>
      <c r="I65" s="52">
        <f t="shared" ref="I65" si="34">IF(E65&gt;F65,E65,0)</f>
        <v>5135000</v>
      </c>
      <c r="J65" s="52">
        <f t="shared" ref="J65" si="35">IF(F65&gt;E65,F65,0)</f>
        <v>0</v>
      </c>
    </row>
    <row r="66" spans="1:10">
      <c r="A66" s="67">
        <v>47151</v>
      </c>
      <c r="B66" s="58" t="s">
        <v>89</v>
      </c>
      <c r="C66" s="52">
        <f>+'Libro Diario 2023 '!D167</f>
        <v>11698191.155000001</v>
      </c>
      <c r="D66" s="52"/>
      <c r="E66" s="52">
        <f t="shared" si="24"/>
        <v>11698191.155000001</v>
      </c>
      <c r="F66" s="52">
        <f t="shared" si="25"/>
        <v>0</v>
      </c>
      <c r="G66" s="52"/>
      <c r="H66" s="52"/>
      <c r="I66" s="52">
        <f t="shared" si="26"/>
        <v>11698191.155000001</v>
      </c>
      <c r="J66" s="52">
        <f t="shared" si="27"/>
        <v>0</v>
      </c>
    </row>
    <row r="67" spans="1:10">
      <c r="A67" s="67">
        <v>47152</v>
      </c>
      <c r="B67" s="58" t="s">
        <v>21</v>
      </c>
      <c r="C67" s="52">
        <f>+'Libro Diario 2023 '!D171</f>
        <v>850000</v>
      </c>
      <c r="D67" s="52"/>
      <c r="E67" s="52">
        <f t="shared" si="24"/>
        <v>850000</v>
      </c>
      <c r="F67" s="52">
        <f t="shared" si="25"/>
        <v>0</v>
      </c>
      <c r="G67" s="52"/>
      <c r="H67" s="52"/>
      <c r="I67" s="52">
        <f t="shared" si="26"/>
        <v>850000</v>
      </c>
      <c r="J67" s="52">
        <f t="shared" si="27"/>
        <v>0</v>
      </c>
    </row>
    <row r="68" spans="1:10">
      <c r="A68" s="67">
        <v>48001</v>
      </c>
      <c r="B68" s="58" t="s">
        <v>90</v>
      </c>
      <c r="C68" s="52">
        <f>+'Libro Diario 2023 '!D139</f>
        <v>4000000</v>
      </c>
      <c r="D68" s="52"/>
      <c r="E68" s="52">
        <f t="shared" si="24"/>
        <v>4000000</v>
      </c>
      <c r="F68" s="52">
        <f t="shared" si="25"/>
        <v>0</v>
      </c>
      <c r="G68" s="52"/>
      <c r="H68" s="52"/>
      <c r="I68" s="52">
        <f t="shared" si="26"/>
        <v>4000000</v>
      </c>
      <c r="J68" s="52">
        <f t="shared" si="27"/>
        <v>0</v>
      </c>
    </row>
    <row r="69" spans="1:10">
      <c r="A69" s="67">
        <v>48101</v>
      </c>
      <c r="B69" s="58" t="s">
        <v>100</v>
      </c>
      <c r="C69" s="52">
        <f>+'Libro Diario 2023 '!D116+'Libro Diario 2023 '!D89</f>
        <v>4150000</v>
      </c>
      <c r="D69" s="52"/>
      <c r="E69" s="52">
        <f t="shared" si="24"/>
        <v>4150000</v>
      </c>
      <c r="F69" s="52">
        <f t="shared" si="25"/>
        <v>0</v>
      </c>
      <c r="G69" s="52"/>
      <c r="H69" s="52"/>
      <c r="I69" s="52">
        <f t="shared" si="26"/>
        <v>4150000</v>
      </c>
      <c r="J69" s="52">
        <f t="shared" si="27"/>
        <v>0</v>
      </c>
    </row>
    <row r="70" spans="1:10">
      <c r="A70" s="67">
        <v>48150</v>
      </c>
      <c r="B70" s="58" t="s">
        <v>94</v>
      </c>
      <c r="C70" s="52">
        <f>+'Libro Diario 2023 '!D81</f>
        <v>11732212.442495923</v>
      </c>
      <c r="D70" s="52"/>
      <c r="E70" s="52">
        <f t="shared" si="24"/>
        <v>11732212.442495923</v>
      </c>
      <c r="F70" s="52">
        <f t="shared" si="25"/>
        <v>0</v>
      </c>
      <c r="G70" s="52"/>
      <c r="H70" s="52"/>
      <c r="I70" s="52">
        <f t="shared" si="26"/>
        <v>11732212.442495923</v>
      </c>
      <c r="J70" s="52">
        <f t="shared" si="27"/>
        <v>0</v>
      </c>
    </row>
    <row r="71" spans="1:10">
      <c r="A71" s="67">
        <v>48151</v>
      </c>
      <c r="B71" s="58" t="s">
        <v>300</v>
      </c>
      <c r="C71" s="52">
        <f>+'Libro Diario 2023 '!D184</f>
        <v>5600000</v>
      </c>
      <c r="D71" s="52"/>
      <c r="E71" s="52">
        <f t="shared" ref="E71" si="36">IF(C71&gt;D71,(C71-D71),0)</f>
        <v>5600000</v>
      </c>
      <c r="F71" s="52">
        <f t="shared" ref="F71" si="37">IF(D71&gt;C71,D71-C71,0)</f>
        <v>0</v>
      </c>
      <c r="G71" s="52"/>
      <c r="H71" s="52"/>
      <c r="I71" s="52">
        <f t="shared" ref="I71" si="38">IF(E71&gt;F71,E71,0)</f>
        <v>5600000</v>
      </c>
      <c r="J71" s="52">
        <f t="shared" ref="J71" si="39">IF(F71&gt;E71,F71,0)</f>
        <v>0</v>
      </c>
    </row>
    <row r="72" spans="1:10">
      <c r="A72" s="67">
        <v>49001</v>
      </c>
      <c r="B72" s="58" t="s">
        <v>92</v>
      </c>
      <c r="C72" s="52">
        <f>+'Libro Diario 2023 '!D120+'Libro Diario 2023 '!D230</f>
        <v>6312500</v>
      </c>
      <c r="D72" s="52"/>
      <c r="E72" s="52">
        <f t="shared" si="24"/>
        <v>6312500</v>
      </c>
      <c r="F72" s="52">
        <f t="shared" si="25"/>
        <v>0</v>
      </c>
      <c r="G72" s="52"/>
      <c r="H72" s="52"/>
      <c r="I72" s="52">
        <f t="shared" si="26"/>
        <v>6312500</v>
      </c>
      <c r="J72" s="52">
        <f t="shared" si="27"/>
        <v>0</v>
      </c>
    </row>
    <row r="73" spans="1:10">
      <c r="A73" s="67">
        <v>49101</v>
      </c>
      <c r="B73" s="58" t="s">
        <v>93</v>
      </c>
      <c r="C73" s="52">
        <f>+'Libro Diario 2023 '!D231</f>
        <v>27777777.77777778</v>
      </c>
      <c r="D73" s="52"/>
      <c r="E73" s="52">
        <f t="shared" si="24"/>
        <v>27777777.77777778</v>
      </c>
      <c r="F73" s="52">
        <f t="shared" si="25"/>
        <v>0</v>
      </c>
      <c r="G73" s="52"/>
      <c r="H73" s="52"/>
      <c r="I73" s="52">
        <f t="shared" si="26"/>
        <v>27777777.77777778</v>
      </c>
      <c r="J73" s="52">
        <f t="shared" si="27"/>
        <v>0</v>
      </c>
    </row>
    <row r="74" spans="1:10">
      <c r="A74" s="67">
        <v>49120</v>
      </c>
      <c r="B74" s="58" t="s">
        <v>97</v>
      </c>
      <c r="C74" s="52">
        <f>+'Libro Diario 2023 '!D129</f>
        <v>20854166.666666668</v>
      </c>
      <c r="D74" s="52"/>
      <c r="E74" s="52">
        <f t="shared" si="24"/>
        <v>20854166.666666668</v>
      </c>
      <c r="F74" s="52">
        <f t="shared" si="25"/>
        <v>0</v>
      </c>
      <c r="G74" s="52"/>
      <c r="H74" s="52"/>
      <c r="I74" s="52">
        <f t="shared" si="26"/>
        <v>20854166.666666668</v>
      </c>
      <c r="J74" s="52">
        <f t="shared" si="27"/>
        <v>0</v>
      </c>
    </row>
    <row r="75" spans="1:10">
      <c r="A75" s="67">
        <v>50001</v>
      </c>
      <c r="B75" s="58" t="s">
        <v>75</v>
      </c>
      <c r="C75" s="52"/>
      <c r="D75" s="52"/>
      <c r="E75" s="52">
        <f t="shared" si="24"/>
        <v>0</v>
      </c>
      <c r="F75" s="52">
        <f t="shared" si="25"/>
        <v>0</v>
      </c>
      <c r="G75" s="52"/>
      <c r="H75" s="52"/>
      <c r="I75" s="52">
        <f t="shared" si="26"/>
        <v>0</v>
      </c>
      <c r="J75" s="52">
        <f t="shared" si="27"/>
        <v>0</v>
      </c>
    </row>
    <row r="76" spans="1:10">
      <c r="A76" s="67">
        <v>50002</v>
      </c>
      <c r="B76" s="58" t="s">
        <v>20</v>
      </c>
      <c r="C76" s="52"/>
      <c r="D76" s="52">
        <f>+'Libro Diario 2023 '!E148</f>
        <v>5200000</v>
      </c>
      <c r="E76" s="52">
        <f t="shared" ref="E76" si="40">IF(C76&gt;D76,(C76-D76),0)</f>
        <v>0</v>
      </c>
      <c r="F76" s="52">
        <f t="shared" ref="F76" si="41">IF(D76&gt;C76,D76-C76,0)</f>
        <v>5200000</v>
      </c>
      <c r="G76" s="52"/>
      <c r="H76" s="52"/>
      <c r="I76" s="52">
        <f t="shared" ref="I76" si="42">IF(E76&gt;F76,E76,0)</f>
        <v>0</v>
      </c>
      <c r="J76" s="52">
        <f t="shared" ref="J76" si="43">IF(F76&gt;E76,F76,0)</f>
        <v>5200000</v>
      </c>
    </row>
    <row r="77" spans="1:10">
      <c r="A77" s="67">
        <v>50003</v>
      </c>
      <c r="B77" s="58" t="s">
        <v>410</v>
      </c>
      <c r="C77" s="52"/>
      <c r="D77" s="52">
        <f>+'Libro Diario 2023 '!E124</f>
        <v>18000000</v>
      </c>
      <c r="E77" s="52">
        <f t="shared" ref="E77" si="44">IF(C77&gt;D77,(C77-D77),0)</f>
        <v>0</v>
      </c>
      <c r="F77" s="52">
        <f t="shared" ref="F77" si="45">IF(D77&gt;C77,D77-C77,0)</f>
        <v>18000000</v>
      </c>
      <c r="G77" s="52"/>
      <c r="H77" s="52"/>
      <c r="I77" s="52">
        <f t="shared" ref="I77" si="46">IF(E77&gt;F77,E77,0)</f>
        <v>0</v>
      </c>
      <c r="J77" s="52">
        <f t="shared" ref="J77" si="47">IF(F77&gt;E77,F77,0)</f>
        <v>18000000</v>
      </c>
    </row>
    <row r="78" spans="1:10">
      <c r="A78" s="67">
        <v>50051</v>
      </c>
      <c r="B78" s="58" t="s">
        <v>84</v>
      </c>
      <c r="C78" s="52"/>
      <c r="D78" s="52">
        <f>+'Libro Diario 2023 '!E94+'Libro Diario 2023 '!E236</f>
        <v>618520</v>
      </c>
      <c r="E78" s="52">
        <f t="shared" si="24"/>
        <v>0</v>
      </c>
      <c r="F78" s="52">
        <f t="shared" si="25"/>
        <v>618520</v>
      </c>
      <c r="G78" s="52"/>
      <c r="H78" s="52"/>
      <c r="I78" s="52">
        <f t="shared" si="26"/>
        <v>0</v>
      </c>
      <c r="J78" s="52">
        <f t="shared" si="27"/>
        <v>618520</v>
      </c>
    </row>
    <row r="79" spans="1:10">
      <c r="A79" s="156">
        <v>51001</v>
      </c>
      <c r="B79" s="157" t="s">
        <v>76</v>
      </c>
      <c r="C79" s="52"/>
      <c r="D79" s="52">
        <f>+'Libro Diario 2023 '!E66</f>
        <v>500000000</v>
      </c>
      <c r="E79" s="52">
        <f t="shared" si="24"/>
        <v>0</v>
      </c>
      <c r="F79" s="52">
        <f t="shared" si="25"/>
        <v>500000000</v>
      </c>
      <c r="G79" s="52"/>
      <c r="H79" s="52"/>
      <c r="I79" s="52">
        <f t="shared" si="26"/>
        <v>0</v>
      </c>
      <c r="J79" s="52">
        <f t="shared" si="27"/>
        <v>500000000</v>
      </c>
    </row>
    <row r="80" spans="1:10" ht="15.75" thickBot="1">
      <c r="A80" s="156">
        <v>51051</v>
      </c>
      <c r="B80" s="157" t="s">
        <v>311</v>
      </c>
      <c r="C80" s="52"/>
      <c r="D80" s="52">
        <f>+'Libro Diario 2023 '!E114</f>
        <v>5000000</v>
      </c>
      <c r="E80" s="52">
        <f t="shared" ref="E80" si="48">IF(C80&gt;D80,(C80-D80),0)</f>
        <v>0</v>
      </c>
      <c r="F80" s="52">
        <f t="shared" ref="F80" si="49">IF(D80&gt;C80,D80-C80,0)</f>
        <v>5000000</v>
      </c>
      <c r="G80" s="52"/>
      <c r="H80" s="52"/>
      <c r="I80" s="52">
        <f t="shared" ref="I80" si="50">IF(E80&gt;F80,E80,0)</f>
        <v>0</v>
      </c>
      <c r="J80" s="52">
        <f t="shared" ref="J80" si="51">IF(F80&gt;E80,F80,0)</f>
        <v>5000000</v>
      </c>
    </row>
    <row r="81" spans="1:10" ht="15.75">
      <c r="A81" s="158"/>
      <c r="B81" s="159" t="s">
        <v>240</v>
      </c>
      <c r="C81" s="579">
        <f t="shared" ref="C81:J81" si="52">SUM(C5:C80)</f>
        <v>4552777661.2661114</v>
      </c>
      <c r="D81" s="579">
        <f t="shared" si="52"/>
        <v>4552777661.2661114</v>
      </c>
      <c r="E81" s="579">
        <f t="shared" si="52"/>
        <v>1684024551.8869402</v>
      </c>
      <c r="F81" s="579">
        <f t="shared" si="52"/>
        <v>1684024551.8869405</v>
      </c>
      <c r="G81" s="579">
        <f t="shared" si="52"/>
        <v>1288426203.845</v>
      </c>
      <c r="H81" s="579">
        <f t="shared" si="52"/>
        <v>1155206031.8869405</v>
      </c>
      <c r="I81" s="579">
        <f t="shared" si="52"/>
        <v>395598348.04194039</v>
      </c>
      <c r="J81" s="580">
        <f t="shared" si="52"/>
        <v>528818520</v>
      </c>
    </row>
    <row r="82" spans="1:10" ht="15.75">
      <c r="A82" s="67"/>
      <c r="B82" s="62" t="s">
        <v>241</v>
      </c>
      <c r="C82" s="61"/>
      <c r="D82" s="61"/>
      <c r="E82" s="61"/>
      <c r="F82" s="61"/>
      <c r="G82" s="61"/>
      <c r="H82" s="61">
        <f>+G81-H81</f>
        <v>133220171.95805955</v>
      </c>
      <c r="I82" s="61">
        <f>+J81-I81</f>
        <v>133220171.95805961</v>
      </c>
      <c r="J82" s="160"/>
    </row>
    <row r="83" spans="1:10" ht="16.5" thickBot="1">
      <c r="A83" s="161"/>
      <c r="B83" s="162" t="s">
        <v>0</v>
      </c>
      <c r="C83" s="163">
        <f>+C81+C82</f>
        <v>4552777661.2661114</v>
      </c>
      <c r="D83" s="163">
        <f t="shared" ref="D83:J83" si="53">+D81+D82</f>
        <v>4552777661.2661114</v>
      </c>
      <c r="E83" s="163">
        <f t="shared" si="53"/>
        <v>1684024551.8869402</v>
      </c>
      <c r="F83" s="163">
        <f t="shared" si="53"/>
        <v>1684024551.8869405</v>
      </c>
      <c r="G83" s="163">
        <f t="shared" si="53"/>
        <v>1288426203.845</v>
      </c>
      <c r="H83" s="163">
        <f t="shared" si="53"/>
        <v>1288426203.845</v>
      </c>
      <c r="I83" s="163">
        <f t="shared" si="53"/>
        <v>528818520</v>
      </c>
      <c r="J83" s="164">
        <f t="shared" si="53"/>
        <v>528818520</v>
      </c>
    </row>
    <row r="84" spans="1:10">
      <c r="D84" s="5">
        <f>+C83-D83</f>
        <v>0</v>
      </c>
      <c r="E84" s="5"/>
      <c r="F84" s="5"/>
      <c r="H84" s="5"/>
      <c r="I84" s="5"/>
    </row>
    <row r="85" spans="1:10">
      <c r="H85" s="5"/>
    </row>
  </sheetData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topLeftCell="A25" zoomScale="93" zoomScaleNormal="93" workbookViewId="0">
      <selection activeCell="B63" sqref="B6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customWidth="1"/>
    <col min="5" max="6" width="17.140625" style="283" customWidth="1"/>
    <col min="7" max="7" width="17.85546875" style="283" customWidth="1"/>
    <col min="8" max="8" width="11.42578125" style="280" customWidth="1"/>
    <col min="9" max="9" width="19.7109375" style="280" customWidth="1"/>
    <col min="10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718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505000000</v>
      </c>
      <c r="E5" s="296">
        <f>SUM(E6:E8)</f>
        <v>140000000</v>
      </c>
      <c r="F5" s="298">
        <f>SUM(F6:F8)</f>
        <v>109243697.4789916</v>
      </c>
      <c r="G5" s="299">
        <f>SUM(G6:G8)</f>
        <v>474243697.47899163</v>
      </c>
    </row>
    <row r="6" spans="1:7">
      <c r="A6" s="284"/>
      <c r="B6" s="300" t="s">
        <v>719</v>
      </c>
      <c r="C6" s="301" t="s">
        <v>424</v>
      </c>
      <c r="D6" s="302">
        <f>+'balance 2023 los andes antes im'!J79+'balance 2023 los andes antes im'!J80</f>
        <v>505000000</v>
      </c>
      <c r="E6" s="303">
        <f>+'cuentas T 2023'!M17/1.19</f>
        <v>140000000</v>
      </c>
      <c r="F6" s="304"/>
      <c r="G6" s="305">
        <f>+D6-E6</f>
        <v>365000000</v>
      </c>
    </row>
    <row r="7" spans="1:7">
      <c r="A7" s="284"/>
      <c r="B7" s="300" t="s">
        <v>720</v>
      </c>
      <c r="C7" s="301" t="s">
        <v>424</v>
      </c>
      <c r="D7" s="302"/>
      <c r="E7" s="303"/>
      <c r="F7" s="304"/>
      <c r="G7" s="305">
        <f>+D7-E7</f>
        <v>0</v>
      </c>
    </row>
    <row r="8" spans="1:7" ht="15.75" thickBot="1">
      <c r="A8" s="284"/>
      <c r="B8" s="306" t="s">
        <v>721</v>
      </c>
      <c r="C8" s="307" t="s">
        <v>424</v>
      </c>
      <c r="D8" s="308"/>
      <c r="E8" s="309"/>
      <c r="F8" s="310">
        <f>+'cuentas T 2023'!O18/1.19</f>
        <v>109243697.4789916</v>
      </c>
      <c r="G8" s="311">
        <f>+F8</f>
        <v>109243697.4789916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17"/>
    </row>
    <row r="10" spans="1:7">
      <c r="A10" s="284"/>
      <c r="B10" s="318" t="s">
        <v>428</v>
      </c>
      <c r="C10" s="301" t="s">
        <v>424</v>
      </c>
      <c r="D10" s="302">
        <f>+'balance 2023 los andes antes im'!J76</f>
        <v>5200000</v>
      </c>
      <c r="E10" s="319"/>
      <c r="F10" s="320"/>
      <c r="G10" s="321">
        <f>+D10</f>
        <v>5200000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25">
        <f>+F11</f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0">SUM(E13:E14)</f>
        <v>0</v>
      </c>
      <c r="F12" s="298">
        <f t="shared" si="0"/>
        <v>0</v>
      </c>
      <c r="G12" s="299">
        <f t="shared" si="0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21">
        <f>+D13</f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27"/>
    </row>
    <row r="15" spans="1:7">
      <c r="A15" s="284"/>
      <c r="B15" s="295" t="s">
        <v>433</v>
      </c>
      <c r="C15" s="328" t="s">
        <v>422</v>
      </c>
      <c r="D15" s="297">
        <f>SUM(D16:D26)</f>
        <v>18618520</v>
      </c>
      <c r="E15" s="296">
        <f t="shared" ref="E15:F15" si="1">SUM(E16:E26)</f>
        <v>0</v>
      </c>
      <c r="F15" s="298">
        <f t="shared" si="1"/>
        <v>0</v>
      </c>
      <c r="G15" s="299">
        <f>SUM(G16:G26)</f>
        <v>18618520</v>
      </c>
    </row>
    <row r="16" spans="1:7">
      <c r="A16" s="284"/>
      <c r="B16" s="329" t="s">
        <v>434</v>
      </c>
      <c r="C16" s="301" t="s">
        <v>424</v>
      </c>
      <c r="D16" s="330">
        <f>+'balance 2023 los andes antes im'!J77</f>
        <v>18000000</v>
      </c>
      <c r="E16" s="313"/>
      <c r="F16" s="331"/>
      <c r="G16" s="335">
        <f t="shared" ref="G16:G18" si="2">+D16</f>
        <v>18000000</v>
      </c>
    </row>
    <row r="17" spans="1:10">
      <c r="A17" s="284"/>
      <c r="B17" s="329" t="s">
        <v>342</v>
      </c>
      <c r="C17" s="301" t="s">
        <v>424</v>
      </c>
      <c r="D17" s="330"/>
      <c r="E17" s="313"/>
      <c r="F17" s="333"/>
      <c r="G17" s="335">
        <f t="shared" si="2"/>
        <v>0</v>
      </c>
    </row>
    <row r="18" spans="1:10">
      <c r="A18" s="284"/>
      <c r="B18" s="334" t="s">
        <v>435</v>
      </c>
      <c r="C18" s="301" t="s">
        <v>424</v>
      </c>
      <c r="D18" s="330"/>
      <c r="E18" s="333"/>
      <c r="F18" s="333"/>
      <c r="G18" s="335">
        <f t="shared" si="2"/>
        <v>0</v>
      </c>
    </row>
    <row r="19" spans="1:10">
      <c r="A19" s="284"/>
      <c r="B19" s="336" t="s">
        <v>436</v>
      </c>
      <c r="C19" s="301" t="s">
        <v>424</v>
      </c>
      <c r="D19" s="330">
        <f>+'balance 2023 los andes antes im'!J78</f>
        <v>618520</v>
      </c>
      <c r="E19" s="333"/>
      <c r="F19" s="333"/>
      <c r="G19" s="335">
        <f>+D19</f>
        <v>618520</v>
      </c>
    </row>
    <row r="20" spans="1:10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37"/>
    </row>
    <row r="21" spans="1:10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37"/>
    </row>
    <row r="22" spans="1:10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37"/>
    </row>
    <row r="23" spans="1:10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37"/>
    </row>
    <row r="24" spans="1:10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41"/>
    </row>
    <row r="25" spans="1:10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41"/>
    </row>
    <row r="26" spans="1:10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27"/>
    </row>
    <row r="27" spans="1:10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17"/>
    </row>
    <row r="28" spans="1:10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27"/>
    </row>
    <row r="29" spans="1:10" ht="15.75" thickBot="1">
      <c r="A29" s="284"/>
      <c r="B29" s="350" t="s">
        <v>446</v>
      </c>
      <c r="C29" s="351" t="s">
        <v>422</v>
      </c>
      <c r="D29" s="352">
        <f>+D5+D9+D10+D11+D12+D15+D27+D28</f>
        <v>528818520</v>
      </c>
      <c r="E29" s="351">
        <f>+E5+E9+E10+E11+E12+E15+E27+E28</f>
        <v>140000000</v>
      </c>
      <c r="F29" s="351">
        <f>+F5+F9+F10+F11+F12+F15+F27+F28</f>
        <v>109243697.4789916</v>
      </c>
      <c r="G29" s="353">
        <f>+G5+G10+G15</f>
        <v>498062217.47899163</v>
      </c>
    </row>
    <row r="30" spans="1:10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58">
        <f t="shared" ref="G30:G54" si="3">+F30+D30-E30</f>
        <v>0</v>
      </c>
      <c r="H30"/>
    </row>
    <row r="31" spans="1:10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58">
        <f t="shared" si="3"/>
        <v>0</v>
      </c>
      <c r="H31"/>
      <c r="I31" s="360">
        <f>+'cuentas T 2023'!N4</f>
        <v>210084033.6134454</v>
      </c>
      <c r="J31" s="280" t="s">
        <v>738</v>
      </c>
    </row>
    <row r="32" spans="1:10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58">
        <f t="shared" si="3"/>
        <v>0</v>
      </c>
      <c r="I32" s="360">
        <f>+'base imponible  at 2023 los and'!E33</f>
        <v>157487394.9579832</v>
      </c>
      <c r="J32" s="280" t="s">
        <v>739</v>
      </c>
    </row>
    <row r="33" spans="1:10" ht="15" customHeight="1">
      <c r="A33" s="284"/>
      <c r="B33" s="356" t="s">
        <v>451</v>
      </c>
      <c r="C33" s="357" t="s">
        <v>448</v>
      </c>
      <c r="D33" s="330"/>
      <c r="E33" s="333">
        <f>+'cuentas T 2023'!W19/1.19</f>
        <v>147058823.52941176</v>
      </c>
      <c r="F33" s="360">
        <f>+'base imponible  at 2023 los and'!E33+'cuentas T 2023'!N4</f>
        <v>367571428.5714286</v>
      </c>
      <c r="G33" s="358">
        <f t="shared" si="3"/>
        <v>220512605.04201683</v>
      </c>
      <c r="H33"/>
      <c r="I33" s="360">
        <f>+I32+I31</f>
        <v>367571428.5714286</v>
      </c>
    </row>
    <row r="34" spans="1:10" ht="15" customHeight="1">
      <c r="A34" s="284"/>
      <c r="B34" s="356" t="s">
        <v>452</v>
      </c>
      <c r="C34" s="357" t="s">
        <v>448</v>
      </c>
      <c r="D34" s="330"/>
      <c r="E34" s="333"/>
      <c r="F34" s="360"/>
      <c r="G34" s="358">
        <f t="shared" si="3"/>
        <v>0</v>
      </c>
      <c r="H34"/>
    </row>
    <row r="35" spans="1:10">
      <c r="A35" s="284"/>
      <c r="B35" s="356" t="s">
        <v>453</v>
      </c>
      <c r="C35" s="357" t="s">
        <v>448</v>
      </c>
      <c r="D35" s="330">
        <f>+'balance 2023 los andes antes im'!I53+'balance 2023 los andes antes im'!I54</f>
        <v>35463500</v>
      </c>
      <c r="E35" s="333">
        <f>+'balance 2023 los andes antes im'!H36</f>
        <v>1997568</v>
      </c>
      <c r="F35" s="360">
        <f>+'base imponible  at 2023 los and'!E35+'balance 2023 los andes antes im'!D53</f>
        <v>1585300</v>
      </c>
      <c r="G35" s="358">
        <f t="shared" si="3"/>
        <v>35051232</v>
      </c>
      <c r="H35"/>
      <c r="I35" s="360">
        <f>+'base imponible  at 2023 los and'!E35</f>
        <v>634800</v>
      </c>
      <c r="J35" s="280" t="s">
        <v>740</v>
      </c>
    </row>
    <row r="36" spans="1:10">
      <c r="A36" s="284"/>
      <c r="B36" s="356" t="s">
        <v>454</v>
      </c>
      <c r="C36" s="357" t="s">
        <v>448</v>
      </c>
      <c r="D36" s="330"/>
      <c r="E36" s="333"/>
      <c r="F36" s="360">
        <f>+'base imponible  at 2023 los and'!E36</f>
        <v>110000</v>
      </c>
      <c r="G36" s="358">
        <f t="shared" si="3"/>
        <v>110000</v>
      </c>
      <c r="H36"/>
      <c r="I36" s="360">
        <f>+'balance 2023 los andes antes im'!D53</f>
        <v>950499.99999999988</v>
      </c>
      <c r="J36" s="638" t="s">
        <v>741</v>
      </c>
    </row>
    <row r="37" spans="1:10">
      <c r="A37" s="284"/>
      <c r="B37" s="356" t="s">
        <v>455</v>
      </c>
      <c r="C37" s="357" t="s">
        <v>448</v>
      </c>
      <c r="D37" s="330"/>
      <c r="E37" s="333"/>
      <c r="F37" s="360">
        <f>+'cuentas T 2023'!R3+'cuentas T 2023'!V3</f>
        <v>27800000</v>
      </c>
      <c r="G37" s="358">
        <f t="shared" si="3"/>
        <v>27800000</v>
      </c>
      <c r="H37"/>
      <c r="I37" s="360">
        <f>+I35+I36</f>
        <v>1585300</v>
      </c>
    </row>
    <row r="38" spans="1:10">
      <c r="A38" s="284"/>
      <c r="B38" s="356" t="s">
        <v>456</v>
      </c>
      <c r="C38" s="357" t="s">
        <v>448</v>
      </c>
      <c r="D38" s="330"/>
      <c r="E38" s="333"/>
      <c r="F38" s="360"/>
      <c r="G38" s="358">
        <f t="shared" si="3"/>
        <v>0</v>
      </c>
      <c r="H38"/>
    </row>
    <row r="39" spans="1:10">
      <c r="A39" s="284"/>
      <c r="B39" s="356" t="s">
        <v>457</v>
      </c>
      <c r="C39" s="357" t="s">
        <v>448</v>
      </c>
      <c r="D39" s="339">
        <f>+'balance 2023 los andes antes im'!I68</f>
        <v>4000000</v>
      </c>
      <c r="E39" s="333"/>
      <c r="F39" s="360"/>
      <c r="G39" s="358">
        <f t="shared" si="3"/>
        <v>4000000</v>
      </c>
      <c r="H39"/>
      <c r="I39" s="360">
        <f>+'cuentas T 2023'!R3</f>
        <v>22000000</v>
      </c>
    </row>
    <row r="40" spans="1:10">
      <c r="A40" s="284"/>
      <c r="B40" s="362" t="s">
        <v>458</v>
      </c>
      <c r="C40" s="357" t="s">
        <v>448</v>
      </c>
      <c r="D40" s="339"/>
      <c r="E40" s="333"/>
      <c r="F40" s="360"/>
      <c r="G40" s="358">
        <f t="shared" si="3"/>
        <v>0</v>
      </c>
      <c r="H40"/>
      <c r="I40" s="360">
        <f>+'cuentas T 2023'!V3</f>
        <v>5800000</v>
      </c>
    </row>
    <row r="41" spans="1:10" ht="15" customHeight="1">
      <c r="A41" s="284"/>
      <c r="B41" s="362" t="s">
        <v>459</v>
      </c>
      <c r="C41" s="357" t="s">
        <v>448</v>
      </c>
      <c r="D41" s="330"/>
      <c r="E41" s="333"/>
      <c r="F41" s="360"/>
      <c r="G41" s="358">
        <f t="shared" si="3"/>
        <v>0</v>
      </c>
      <c r="I41" s="360">
        <f>+I39+I40</f>
        <v>27800000</v>
      </c>
    </row>
    <row r="42" spans="1:10" ht="15" customHeight="1">
      <c r="A42" s="284"/>
      <c r="B42" s="362" t="s">
        <v>460</v>
      </c>
      <c r="C42" s="357" t="s">
        <v>448</v>
      </c>
      <c r="D42" s="330"/>
      <c r="E42" s="333"/>
      <c r="F42" s="360"/>
      <c r="G42" s="358">
        <f t="shared" si="3"/>
        <v>0</v>
      </c>
    </row>
    <row r="43" spans="1:10" ht="15" customHeight="1">
      <c r="A43" s="284"/>
      <c r="B43" s="362" t="s">
        <v>461</v>
      </c>
      <c r="C43" s="357" t="s">
        <v>448</v>
      </c>
      <c r="D43" s="330">
        <f>+'balance 2023 los andes antes im'!I71</f>
        <v>5600000</v>
      </c>
      <c r="E43" s="333"/>
      <c r="F43" s="360"/>
      <c r="G43" s="358">
        <f t="shared" si="3"/>
        <v>5600000</v>
      </c>
    </row>
    <row r="44" spans="1:10" ht="15" customHeight="1">
      <c r="A44" s="284"/>
      <c r="B44" s="362" t="s">
        <v>462</v>
      </c>
      <c r="C44" s="357" t="s">
        <v>448</v>
      </c>
      <c r="D44" s="330"/>
      <c r="E44" s="333"/>
      <c r="F44" s="360"/>
      <c r="G44" s="358">
        <f t="shared" si="3"/>
        <v>0</v>
      </c>
    </row>
    <row r="45" spans="1:10">
      <c r="A45" s="284"/>
      <c r="B45" s="363" t="s">
        <v>463</v>
      </c>
      <c r="C45" s="357" t="s">
        <v>448</v>
      </c>
      <c r="D45" s="330"/>
      <c r="E45" s="333"/>
      <c r="F45" s="360"/>
      <c r="G45" s="358">
        <f t="shared" si="3"/>
        <v>0</v>
      </c>
    </row>
    <row r="46" spans="1:10">
      <c r="A46" s="284"/>
      <c r="B46" s="363" t="s">
        <v>464</v>
      </c>
      <c r="C46" s="357" t="s">
        <v>448</v>
      </c>
      <c r="D46" s="330"/>
      <c r="E46" s="333"/>
      <c r="F46" s="360"/>
      <c r="G46" s="358">
        <f t="shared" si="3"/>
        <v>0</v>
      </c>
    </row>
    <row r="47" spans="1:10" ht="15" customHeight="1">
      <c r="A47" s="284"/>
      <c r="B47" s="363" t="s">
        <v>465</v>
      </c>
      <c r="C47" s="357" t="s">
        <v>448</v>
      </c>
      <c r="D47" s="330"/>
      <c r="E47" s="333"/>
      <c r="F47" s="360"/>
      <c r="G47" s="358">
        <f t="shared" si="3"/>
        <v>0</v>
      </c>
    </row>
    <row r="48" spans="1:10" ht="15" customHeight="1">
      <c r="A48" s="284"/>
      <c r="B48" s="363" t="s">
        <v>466</v>
      </c>
      <c r="C48" s="357" t="s">
        <v>448</v>
      </c>
      <c r="D48" s="330"/>
      <c r="E48" s="333"/>
      <c r="F48" s="360"/>
      <c r="G48" s="358">
        <f t="shared" si="3"/>
        <v>0</v>
      </c>
    </row>
    <row r="49" spans="1:7" ht="15" customHeight="1">
      <c r="A49" s="284"/>
      <c r="B49" s="362" t="s">
        <v>467</v>
      </c>
      <c r="C49" s="357" t="s">
        <v>448</v>
      </c>
      <c r="D49" s="330"/>
      <c r="E49" s="333"/>
      <c r="F49" s="360"/>
      <c r="G49" s="358">
        <f t="shared" si="3"/>
        <v>0</v>
      </c>
    </row>
    <row r="50" spans="1:7">
      <c r="A50" s="284"/>
      <c r="B50" s="362" t="s">
        <v>468</v>
      </c>
      <c r="C50" s="357" t="s">
        <v>448</v>
      </c>
      <c r="D50" s="330">
        <f>SUM('balance 2023 los andes antes im'!I57:I59,'balance 2023 los andes antes im'!I69)</f>
        <v>7220000</v>
      </c>
      <c r="E50" s="333">
        <f>+'cuentas T 2023'!S17/1.19</f>
        <v>1000000</v>
      </c>
      <c r="F50" s="360">
        <f>+'balance 2023 los andes antes im'!C31+'balance 2023 los andes antes im'!C70</f>
        <v>35000000</v>
      </c>
      <c r="G50" s="358">
        <f>+D50+F50-E50</f>
        <v>41220000</v>
      </c>
    </row>
    <row r="51" spans="1:7" ht="15" customHeight="1">
      <c r="A51" s="284"/>
      <c r="B51" s="362" t="s">
        <v>469</v>
      </c>
      <c r="C51" s="357" t="s">
        <v>448</v>
      </c>
      <c r="D51" s="330"/>
      <c r="E51" s="333"/>
      <c r="F51" s="360"/>
      <c r="G51" s="358">
        <f t="shared" si="3"/>
        <v>0</v>
      </c>
    </row>
    <row r="52" spans="1:7">
      <c r="A52" s="284"/>
      <c r="B52" s="362" t="s">
        <v>470</v>
      </c>
      <c r="C52" s="357" t="s">
        <v>448</v>
      </c>
      <c r="D52" s="330"/>
      <c r="E52" s="333"/>
      <c r="F52" s="360">
        <f>-'base imponible  at 2023 los and'!G69</f>
        <v>5566872.268907547</v>
      </c>
      <c r="G52" s="358">
        <f t="shared" si="3"/>
        <v>5566872.268907547</v>
      </c>
    </row>
    <row r="53" spans="1:7" ht="16.5" customHeight="1">
      <c r="A53" s="284"/>
      <c r="B53" s="356" t="s">
        <v>471</v>
      </c>
      <c r="C53" s="357" t="s">
        <v>448</v>
      </c>
      <c r="D53" s="330"/>
      <c r="E53" s="333"/>
      <c r="F53" s="360"/>
      <c r="G53" s="358">
        <f t="shared" si="3"/>
        <v>0</v>
      </c>
    </row>
    <row r="54" spans="1:7">
      <c r="A54" s="284"/>
      <c r="B54" s="356" t="s">
        <v>472</v>
      </c>
      <c r="C54" s="357" t="s">
        <v>448</v>
      </c>
      <c r="D54" s="330"/>
      <c r="E54" s="333"/>
      <c r="F54" s="360"/>
      <c r="G54" s="358">
        <f t="shared" si="3"/>
        <v>0</v>
      </c>
    </row>
    <row r="55" spans="1:7">
      <c r="A55" s="284"/>
      <c r="B55" s="356" t="s">
        <v>473</v>
      </c>
      <c r="C55" s="364"/>
      <c r="D55" s="330"/>
      <c r="E55" s="333"/>
      <c r="F55" s="360"/>
      <c r="G55" s="358"/>
    </row>
    <row r="56" spans="1:7" ht="15" customHeight="1">
      <c r="A56" s="284"/>
      <c r="B56" s="334" t="s">
        <v>474</v>
      </c>
      <c r="C56" s="357" t="s">
        <v>448</v>
      </c>
      <c r="D56" s="330">
        <f>+'balance 2023 los andes antes im'!I72+'balance 2023 los andes antes im'!I73</f>
        <v>34090277.777777776</v>
      </c>
      <c r="E56" s="333"/>
      <c r="F56" s="360"/>
      <c r="G56" s="359"/>
    </row>
    <row r="57" spans="1:7" ht="15" customHeight="1">
      <c r="A57" s="284"/>
      <c r="B57" s="334" t="s">
        <v>475</v>
      </c>
      <c r="C57" s="357" t="s">
        <v>448</v>
      </c>
      <c r="D57" s="330">
        <f>+'balance 2023 los andes antes im'!I52</f>
        <v>250000000</v>
      </c>
      <c r="E57" s="333"/>
      <c r="F57" s="360"/>
      <c r="G57" s="365"/>
    </row>
    <row r="58" spans="1:7" ht="15" customHeight="1">
      <c r="A58" s="284"/>
      <c r="B58" s="334" t="str">
        <f>+'balance 2023 los andes antes im'!B70</f>
        <v>INTERESES DE LEASING</v>
      </c>
      <c r="C58" s="357"/>
      <c r="D58" s="330">
        <f>+'balance 2023 los andes antes im'!I70</f>
        <v>11732212.442495923</v>
      </c>
      <c r="E58" s="333"/>
      <c r="F58" s="333"/>
      <c r="G58" s="365"/>
    </row>
    <row r="59" spans="1:7" ht="15" customHeight="1">
      <c r="A59" s="284"/>
      <c r="B59" s="334" t="str">
        <f>+'balance 2023 los andes antes im'!B66</f>
        <v>CASTIGO DE MERCADERIA</v>
      </c>
      <c r="C59" s="357" t="s">
        <v>448</v>
      </c>
      <c r="D59" s="330">
        <f>+'balance 2023 los andes antes im'!I66</f>
        <v>11698191.155000001</v>
      </c>
      <c r="E59" s="333"/>
      <c r="F59" s="333"/>
      <c r="G59" s="365"/>
    </row>
    <row r="60" spans="1:7" ht="15" customHeight="1">
      <c r="A60" s="284"/>
      <c r="B60" s="334" t="str">
        <f>+'balance 2023 los andes antes im'!B67</f>
        <v>MERMA MERCADERIA</v>
      </c>
      <c r="C60" s="357" t="s">
        <v>448</v>
      </c>
      <c r="D60" s="330">
        <f>+'balance 2023 los andes antes im'!I67</f>
        <v>850000</v>
      </c>
      <c r="E60" s="333"/>
      <c r="F60" s="333"/>
      <c r="G60" s="365"/>
    </row>
    <row r="61" spans="1:7" ht="15" customHeight="1">
      <c r="A61" s="284"/>
      <c r="B61" s="334" t="str">
        <f>+'balance 2022 antes impto andes'!B57</f>
        <v>GASTOS DEUDORES INCOBRABLES</v>
      </c>
      <c r="C61" s="357" t="s">
        <v>448</v>
      </c>
      <c r="D61" s="330">
        <f>+'balance 2023 los andes antes im'!I64</f>
        <v>7740000</v>
      </c>
      <c r="E61" s="333"/>
      <c r="F61" s="333"/>
      <c r="G61" s="366"/>
    </row>
    <row r="62" spans="1:7" ht="15" customHeight="1">
      <c r="A62" s="284"/>
      <c r="B62" s="334" t="str">
        <f>+'balance 2023 los andes antes im'!B65</f>
        <v xml:space="preserve">CASTIGO DEUDORES POR VENTAS </v>
      </c>
      <c r="C62" s="357"/>
      <c r="D62" s="330">
        <f>+'balance 2023 los andes antes im'!I65</f>
        <v>5135000</v>
      </c>
      <c r="E62" s="333"/>
      <c r="F62" s="333"/>
      <c r="G62" s="366"/>
    </row>
    <row r="63" spans="1:7" ht="15" customHeight="1">
      <c r="A63" s="284"/>
      <c r="B63" s="334" t="str">
        <f>+'balance 2022 antes impto andes'!B49</f>
        <v xml:space="preserve">GASTO POR VACACIONES DEL PERSONAL </v>
      </c>
      <c r="C63" s="357" t="s">
        <v>448</v>
      </c>
      <c r="D63" s="330">
        <f>+'balance 2023 los andes antes im'!I55</f>
        <v>1215000</v>
      </c>
      <c r="E63" s="333"/>
      <c r="F63" s="333"/>
      <c r="G63" s="365"/>
    </row>
    <row r="64" spans="1:7" ht="15" customHeight="1">
      <c r="A64" s="284"/>
      <c r="B64" s="334" t="str">
        <f>+'balance 2023 los andes antes im'!B74</f>
        <v>PERDIDA VENTA VEHICULO</v>
      </c>
      <c r="C64" s="357" t="s">
        <v>448</v>
      </c>
      <c r="D64" s="330">
        <f>+'balance 2023 los andes antes im'!I74</f>
        <v>20854166.666666668</v>
      </c>
      <c r="E64" s="333"/>
      <c r="F64" s="333"/>
      <c r="G64" s="365"/>
    </row>
    <row r="65" spans="1:9" ht="15" customHeight="1" thickBot="1">
      <c r="A65" s="284"/>
      <c r="B65" s="336" t="s">
        <v>476</v>
      </c>
      <c r="C65" s="367" t="s">
        <v>448</v>
      </c>
      <c r="D65" s="330"/>
      <c r="E65" s="333"/>
      <c r="F65" s="333"/>
      <c r="G65" s="365"/>
    </row>
    <row r="66" spans="1:9" ht="15.75" thickBot="1">
      <c r="A66" s="284"/>
      <c r="B66" s="368" t="s">
        <v>477</v>
      </c>
      <c r="C66" s="369" t="s">
        <v>422</v>
      </c>
      <c r="D66" s="370">
        <f>SUM(D30:D65)</f>
        <v>395598348.04194039</v>
      </c>
      <c r="E66" s="369">
        <f>SUM(E30:E65)</f>
        <v>150056391.52941176</v>
      </c>
      <c r="F66" s="371">
        <f>SUM(F30:F65)</f>
        <v>437633600.84033614</v>
      </c>
      <c r="G66" s="372">
        <f>SUM(G30:G65)</f>
        <v>339860709.31092441</v>
      </c>
      <c r="I66" s="373"/>
    </row>
    <row r="67" spans="1:9" ht="15.75" thickBot="1">
      <c r="A67" s="284"/>
      <c r="B67" s="368" t="s">
        <v>240</v>
      </c>
      <c r="C67" s="369" t="s">
        <v>422</v>
      </c>
      <c r="D67" s="370">
        <f>+D29-D66</f>
        <v>133220171.95805961</v>
      </c>
      <c r="E67" s="374"/>
      <c r="F67" s="374"/>
      <c r="G67" s="375"/>
      <c r="I67" s="373"/>
    </row>
    <row r="68" spans="1:9" ht="15.75" customHeight="1" thickBot="1">
      <c r="A68" s="284"/>
      <c r="B68" s="376" t="s">
        <v>478</v>
      </c>
      <c r="C68" s="377" t="s">
        <v>424</v>
      </c>
      <c r="D68" s="352"/>
      <c r="E68" s="374"/>
      <c r="F68" s="374"/>
      <c r="G68" s="372">
        <f>+G47+G48</f>
        <v>0</v>
      </c>
      <c r="I68" s="378"/>
    </row>
    <row r="69" spans="1:9" ht="15.75" customHeight="1" thickBot="1">
      <c r="A69" s="284"/>
      <c r="B69" s="379" t="s">
        <v>479</v>
      </c>
      <c r="C69" s="380" t="s">
        <v>422</v>
      </c>
      <c r="D69" s="381"/>
      <c r="E69" s="382"/>
      <c r="F69" s="382"/>
      <c r="G69" s="372">
        <f>+G29-G66</f>
        <v>158201508.16806722</v>
      </c>
      <c r="I69" s="373"/>
    </row>
    <row r="70" spans="1:9" ht="15.75" customHeight="1" thickBot="1">
      <c r="A70" s="284"/>
      <c r="B70" s="379" t="s">
        <v>480</v>
      </c>
      <c r="C70" s="383"/>
      <c r="D70" s="384"/>
      <c r="E70" s="385"/>
      <c r="F70" s="385"/>
      <c r="G70" s="372"/>
    </row>
    <row r="71" spans="1:9" ht="15.75" thickBot="1">
      <c r="A71" s="284"/>
      <c r="B71" s="346" t="s">
        <v>481</v>
      </c>
      <c r="C71" s="386" t="s">
        <v>448</v>
      </c>
      <c r="D71" s="387"/>
      <c r="E71" s="388"/>
      <c r="F71" s="388"/>
      <c r="G71" s="372"/>
    </row>
    <row r="72" spans="1:9" ht="15.75" customHeight="1" thickBot="1">
      <c r="A72" s="284"/>
      <c r="B72" s="322" t="s">
        <v>482</v>
      </c>
      <c r="C72" s="367" t="s">
        <v>448</v>
      </c>
      <c r="D72" s="389"/>
      <c r="E72" s="390"/>
      <c r="F72" s="390"/>
      <c r="G72" s="372"/>
    </row>
    <row r="73" spans="1:9" ht="15.75" customHeight="1" thickBot="1">
      <c r="A73" s="284"/>
      <c r="B73" s="391" t="s">
        <v>483</v>
      </c>
      <c r="C73" s="351" t="s">
        <v>422</v>
      </c>
      <c r="D73" s="352"/>
      <c r="E73" s="374"/>
      <c r="F73" s="374"/>
      <c r="G73" s="372">
        <f>+G69-G71-G72</f>
        <v>158201508.16806722</v>
      </c>
    </row>
    <row r="74" spans="1:9" ht="15.75" customHeight="1" thickBot="1">
      <c r="A74" s="392"/>
      <c r="B74" s="393"/>
      <c r="C74" s="394"/>
      <c r="D74" s="395"/>
      <c r="E74" s="396"/>
      <c r="F74" s="396"/>
      <c r="G74" s="372"/>
    </row>
    <row r="75" spans="1:9" ht="15.75" thickBot="1">
      <c r="B75" s="397" t="s">
        <v>484</v>
      </c>
      <c r="C75" s="398"/>
      <c r="D75" s="399"/>
      <c r="E75" s="400"/>
      <c r="F75" s="400"/>
      <c r="G75" s="372"/>
    </row>
    <row r="76" spans="1:9" ht="15.75" thickBot="1">
      <c r="B76" s="356" t="s">
        <v>485</v>
      </c>
      <c r="C76" s="301" t="s">
        <v>424</v>
      </c>
      <c r="D76" s="401"/>
      <c r="E76" s="402"/>
      <c r="F76" s="402"/>
      <c r="G76" s="372"/>
    </row>
    <row r="77" spans="1:9" ht="15.75" thickBot="1">
      <c r="B77" s="322" t="s">
        <v>486</v>
      </c>
      <c r="C77" s="323" t="s">
        <v>424</v>
      </c>
      <c r="D77" s="403"/>
      <c r="E77" s="404"/>
      <c r="F77" s="404"/>
      <c r="G77" s="372"/>
    </row>
    <row r="78" spans="1:9" ht="15.75" thickBot="1">
      <c r="B78" s="391" t="s">
        <v>487</v>
      </c>
      <c r="C78" s="351" t="s">
        <v>422</v>
      </c>
      <c r="D78" s="352"/>
      <c r="E78" s="374"/>
      <c r="F78" s="374"/>
      <c r="G78" s="372"/>
    </row>
    <row r="79" spans="1:9" ht="15.75" thickBot="1">
      <c r="B79" s="279"/>
      <c r="C79" s="405"/>
      <c r="D79" s="352"/>
      <c r="E79" s="374"/>
      <c r="F79" s="374"/>
      <c r="G79" s="406"/>
    </row>
    <row r="80" spans="1:9" ht="15.75" thickBot="1">
      <c r="B80" s="397" t="s">
        <v>488</v>
      </c>
      <c r="C80" s="398"/>
      <c r="D80" s="352"/>
      <c r="E80" s="374"/>
      <c r="F80" s="374"/>
      <c r="G80" s="407"/>
    </row>
    <row r="81" spans="2:7" ht="15.75" thickBot="1">
      <c r="B81" s="363" t="s">
        <v>463</v>
      </c>
      <c r="C81" s="301" t="s">
        <v>424</v>
      </c>
      <c r="D81" s="352"/>
      <c r="E81" s="374"/>
      <c r="F81" s="374"/>
      <c r="G81" s="408">
        <f>+G45</f>
        <v>0</v>
      </c>
    </row>
    <row r="82" spans="2:7" ht="15.75" thickBot="1">
      <c r="B82" s="391" t="s">
        <v>489</v>
      </c>
      <c r="C82" s="351" t="s">
        <v>422</v>
      </c>
      <c r="D82" s="352"/>
      <c r="E82" s="374"/>
      <c r="F82" s="374"/>
      <c r="G82" s="409">
        <f t="shared" ref="G82" si="4">+G81</f>
        <v>0</v>
      </c>
    </row>
    <row r="84" spans="2:7">
      <c r="D84" s="410"/>
    </row>
    <row r="85" spans="2:7">
      <c r="D85" s="410"/>
      <c r="G85" s="411"/>
    </row>
    <row r="87" spans="2:7">
      <c r="D87" s="410"/>
      <c r="G87" s="411"/>
    </row>
    <row r="88" spans="2:7">
      <c r="D88" s="412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showGridLines="0" topLeftCell="A25" zoomScale="98" zoomScaleNormal="98" workbookViewId="0">
      <selection activeCell="I51" sqref="I51"/>
    </sheetView>
  </sheetViews>
  <sheetFormatPr baseColWidth="10" defaultColWidth="11.42578125" defaultRowHeight="15"/>
  <cols>
    <col min="1" max="1" width="1.28515625" style="74" customWidth="1"/>
    <col min="2" max="2" width="1.7109375" style="74" customWidth="1"/>
    <col min="3" max="3" width="7.5703125" style="96" customWidth="1"/>
    <col min="4" max="4" width="46.42578125" style="97" bestFit="1" customWidth="1"/>
    <col min="5" max="5" width="21.7109375" style="98" customWidth="1"/>
    <col min="6" max="6" width="16.7109375" style="98" customWidth="1"/>
    <col min="7" max="8" width="13.140625" style="107" customWidth="1"/>
    <col min="9" max="9" width="23.28515625" style="108" customWidth="1"/>
    <col min="10" max="10" width="14" style="74" customWidth="1"/>
    <col min="11" max="11" width="12.28515625" style="74" bestFit="1" customWidth="1"/>
    <col min="12" max="251" width="11.42578125" style="74"/>
    <col min="252" max="254" width="11.42578125" style="74" customWidth="1"/>
    <col min="255" max="255" width="0.85546875" style="74" customWidth="1"/>
    <col min="256" max="256" width="47.42578125" style="74" bestFit="1" customWidth="1"/>
    <col min="257" max="259" width="11.42578125" style="74" customWidth="1"/>
    <col min="260" max="260" width="0.85546875" style="74" customWidth="1"/>
    <col min="261" max="261" width="16.7109375" style="74" bestFit="1" customWidth="1"/>
    <col min="262" max="262" width="0.85546875" style="74" customWidth="1"/>
    <col min="263" max="507" width="11.42578125" style="74"/>
    <col min="508" max="510" width="11.42578125" style="74" customWidth="1"/>
    <col min="511" max="511" width="0.85546875" style="74" customWidth="1"/>
    <col min="512" max="512" width="47.42578125" style="74" bestFit="1" customWidth="1"/>
    <col min="513" max="515" width="11.42578125" style="74" customWidth="1"/>
    <col min="516" max="516" width="0.85546875" style="74" customWidth="1"/>
    <col min="517" max="517" width="16.7109375" style="74" bestFit="1" customWidth="1"/>
    <col min="518" max="518" width="0.85546875" style="74" customWidth="1"/>
    <col min="519" max="763" width="11.42578125" style="74"/>
    <col min="764" max="766" width="11.42578125" style="74" customWidth="1"/>
    <col min="767" max="767" width="0.85546875" style="74" customWidth="1"/>
    <col min="768" max="768" width="47.42578125" style="74" bestFit="1" customWidth="1"/>
    <col min="769" max="771" width="11.42578125" style="74" customWidth="1"/>
    <col min="772" max="772" width="0.85546875" style="74" customWidth="1"/>
    <col min="773" max="773" width="16.7109375" style="74" bestFit="1" customWidth="1"/>
    <col min="774" max="774" width="0.85546875" style="74" customWidth="1"/>
    <col min="775" max="1019" width="11.42578125" style="74"/>
    <col min="1020" max="1022" width="11.42578125" style="74" customWidth="1"/>
    <col min="1023" max="1023" width="0.85546875" style="74" customWidth="1"/>
    <col min="1024" max="1024" width="47.42578125" style="74" bestFit="1" customWidth="1"/>
    <col min="1025" max="1027" width="11.42578125" style="74" customWidth="1"/>
    <col min="1028" max="1028" width="0.85546875" style="74" customWidth="1"/>
    <col min="1029" max="1029" width="16.7109375" style="74" bestFit="1" customWidth="1"/>
    <col min="1030" max="1030" width="0.85546875" style="74" customWidth="1"/>
    <col min="1031" max="1275" width="11.42578125" style="74"/>
    <col min="1276" max="1278" width="11.42578125" style="74" customWidth="1"/>
    <col min="1279" max="1279" width="0.85546875" style="74" customWidth="1"/>
    <col min="1280" max="1280" width="47.42578125" style="74" bestFit="1" customWidth="1"/>
    <col min="1281" max="1283" width="11.42578125" style="74" customWidth="1"/>
    <col min="1284" max="1284" width="0.85546875" style="74" customWidth="1"/>
    <col min="1285" max="1285" width="16.7109375" style="74" bestFit="1" customWidth="1"/>
    <col min="1286" max="1286" width="0.85546875" style="74" customWidth="1"/>
    <col min="1287" max="1531" width="11.42578125" style="74"/>
    <col min="1532" max="1534" width="11.42578125" style="74" customWidth="1"/>
    <col min="1535" max="1535" width="0.85546875" style="74" customWidth="1"/>
    <col min="1536" max="1536" width="47.42578125" style="74" bestFit="1" customWidth="1"/>
    <col min="1537" max="1539" width="11.42578125" style="74" customWidth="1"/>
    <col min="1540" max="1540" width="0.85546875" style="74" customWidth="1"/>
    <col min="1541" max="1541" width="16.7109375" style="74" bestFit="1" customWidth="1"/>
    <col min="1542" max="1542" width="0.85546875" style="74" customWidth="1"/>
    <col min="1543" max="1787" width="11.42578125" style="74"/>
    <col min="1788" max="1790" width="11.42578125" style="74" customWidth="1"/>
    <col min="1791" max="1791" width="0.85546875" style="74" customWidth="1"/>
    <col min="1792" max="1792" width="47.42578125" style="74" bestFit="1" customWidth="1"/>
    <col min="1793" max="1795" width="11.42578125" style="74" customWidth="1"/>
    <col min="1796" max="1796" width="0.85546875" style="74" customWidth="1"/>
    <col min="1797" max="1797" width="16.7109375" style="74" bestFit="1" customWidth="1"/>
    <col min="1798" max="1798" width="0.85546875" style="74" customWidth="1"/>
    <col min="1799" max="2043" width="11.42578125" style="74"/>
    <col min="2044" max="2046" width="11.42578125" style="74" customWidth="1"/>
    <col min="2047" max="2047" width="0.85546875" style="74" customWidth="1"/>
    <col min="2048" max="2048" width="47.42578125" style="74" bestFit="1" customWidth="1"/>
    <col min="2049" max="2051" width="11.42578125" style="74" customWidth="1"/>
    <col min="2052" max="2052" width="0.85546875" style="74" customWidth="1"/>
    <col min="2053" max="2053" width="16.7109375" style="74" bestFit="1" customWidth="1"/>
    <col min="2054" max="2054" width="0.85546875" style="74" customWidth="1"/>
    <col min="2055" max="2299" width="11.42578125" style="74"/>
    <col min="2300" max="2302" width="11.42578125" style="74" customWidth="1"/>
    <col min="2303" max="2303" width="0.85546875" style="74" customWidth="1"/>
    <col min="2304" max="2304" width="47.42578125" style="74" bestFit="1" customWidth="1"/>
    <col min="2305" max="2307" width="11.42578125" style="74" customWidth="1"/>
    <col min="2308" max="2308" width="0.85546875" style="74" customWidth="1"/>
    <col min="2309" max="2309" width="16.7109375" style="74" bestFit="1" customWidth="1"/>
    <col min="2310" max="2310" width="0.85546875" style="74" customWidth="1"/>
    <col min="2311" max="2555" width="11.42578125" style="74"/>
    <col min="2556" max="2558" width="11.42578125" style="74" customWidth="1"/>
    <col min="2559" max="2559" width="0.85546875" style="74" customWidth="1"/>
    <col min="2560" max="2560" width="47.42578125" style="74" bestFit="1" customWidth="1"/>
    <col min="2561" max="2563" width="11.42578125" style="74" customWidth="1"/>
    <col min="2564" max="2564" width="0.85546875" style="74" customWidth="1"/>
    <col min="2565" max="2565" width="16.7109375" style="74" bestFit="1" customWidth="1"/>
    <col min="2566" max="2566" width="0.85546875" style="74" customWidth="1"/>
    <col min="2567" max="2811" width="11.42578125" style="74"/>
    <col min="2812" max="2814" width="11.42578125" style="74" customWidth="1"/>
    <col min="2815" max="2815" width="0.85546875" style="74" customWidth="1"/>
    <col min="2816" max="2816" width="47.42578125" style="74" bestFit="1" customWidth="1"/>
    <col min="2817" max="2819" width="11.42578125" style="74" customWidth="1"/>
    <col min="2820" max="2820" width="0.85546875" style="74" customWidth="1"/>
    <col min="2821" max="2821" width="16.7109375" style="74" bestFit="1" customWidth="1"/>
    <col min="2822" max="2822" width="0.85546875" style="74" customWidth="1"/>
    <col min="2823" max="3067" width="11.42578125" style="74"/>
    <col min="3068" max="3070" width="11.42578125" style="74" customWidth="1"/>
    <col min="3071" max="3071" width="0.85546875" style="74" customWidth="1"/>
    <col min="3072" max="3072" width="47.42578125" style="74" bestFit="1" customWidth="1"/>
    <col min="3073" max="3075" width="11.42578125" style="74" customWidth="1"/>
    <col min="3076" max="3076" width="0.85546875" style="74" customWidth="1"/>
    <col min="3077" max="3077" width="16.7109375" style="74" bestFit="1" customWidth="1"/>
    <col min="3078" max="3078" width="0.85546875" style="74" customWidth="1"/>
    <col min="3079" max="3323" width="11.42578125" style="74"/>
    <col min="3324" max="3326" width="11.42578125" style="74" customWidth="1"/>
    <col min="3327" max="3327" width="0.85546875" style="74" customWidth="1"/>
    <col min="3328" max="3328" width="47.42578125" style="74" bestFit="1" customWidth="1"/>
    <col min="3329" max="3331" width="11.42578125" style="74" customWidth="1"/>
    <col min="3332" max="3332" width="0.85546875" style="74" customWidth="1"/>
    <col min="3333" max="3333" width="16.7109375" style="74" bestFit="1" customWidth="1"/>
    <col min="3334" max="3334" width="0.85546875" style="74" customWidth="1"/>
    <col min="3335" max="3579" width="11.42578125" style="74"/>
    <col min="3580" max="3582" width="11.42578125" style="74" customWidth="1"/>
    <col min="3583" max="3583" width="0.85546875" style="74" customWidth="1"/>
    <col min="3584" max="3584" width="47.42578125" style="74" bestFit="1" customWidth="1"/>
    <col min="3585" max="3587" width="11.42578125" style="74" customWidth="1"/>
    <col min="3588" max="3588" width="0.85546875" style="74" customWidth="1"/>
    <col min="3589" max="3589" width="16.7109375" style="74" bestFit="1" customWidth="1"/>
    <col min="3590" max="3590" width="0.85546875" style="74" customWidth="1"/>
    <col min="3591" max="3835" width="11.42578125" style="74"/>
    <col min="3836" max="3838" width="11.42578125" style="74" customWidth="1"/>
    <col min="3839" max="3839" width="0.85546875" style="74" customWidth="1"/>
    <col min="3840" max="3840" width="47.42578125" style="74" bestFit="1" customWidth="1"/>
    <col min="3841" max="3843" width="11.42578125" style="74" customWidth="1"/>
    <col min="3844" max="3844" width="0.85546875" style="74" customWidth="1"/>
    <col min="3845" max="3845" width="16.7109375" style="74" bestFit="1" customWidth="1"/>
    <col min="3846" max="3846" width="0.85546875" style="74" customWidth="1"/>
    <col min="3847" max="4091" width="11.42578125" style="74"/>
    <col min="4092" max="4094" width="11.42578125" style="74" customWidth="1"/>
    <col min="4095" max="4095" width="0.85546875" style="74" customWidth="1"/>
    <col min="4096" max="4096" width="47.42578125" style="74" bestFit="1" customWidth="1"/>
    <col min="4097" max="4099" width="11.42578125" style="74" customWidth="1"/>
    <col min="4100" max="4100" width="0.85546875" style="74" customWidth="1"/>
    <col min="4101" max="4101" width="16.7109375" style="74" bestFit="1" customWidth="1"/>
    <col min="4102" max="4102" width="0.85546875" style="74" customWidth="1"/>
    <col min="4103" max="4347" width="11.42578125" style="74"/>
    <col min="4348" max="4350" width="11.42578125" style="74" customWidth="1"/>
    <col min="4351" max="4351" width="0.85546875" style="74" customWidth="1"/>
    <col min="4352" max="4352" width="47.42578125" style="74" bestFit="1" customWidth="1"/>
    <col min="4353" max="4355" width="11.42578125" style="74" customWidth="1"/>
    <col min="4356" max="4356" width="0.85546875" style="74" customWidth="1"/>
    <col min="4357" max="4357" width="16.7109375" style="74" bestFit="1" customWidth="1"/>
    <col min="4358" max="4358" width="0.85546875" style="74" customWidth="1"/>
    <col min="4359" max="4603" width="11.42578125" style="74"/>
    <col min="4604" max="4606" width="11.42578125" style="74" customWidth="1"/>
    <col min="4607" max="4607" width="0.85546875" style="74" customWidth="1"/>
    <col min="4608" max="4608" width="47.42578125" style="74" bestFit="1" customWidth="1"/>
    <col min="4609" max="4611" width="11.42578125" style="74" customWidth="1"/>
    <col min="4612" max="4612" width="0.85546875" style="74" customWidth="1"/>
    <col min="4613" max="4613" width="16.7109375" style="74" bestFit="1" customWidth="1"/>
    <col min="4614" max="4614" width="0.85546875" style="74" customWidth="1"/>
    <col min="4615" max="4859" width="11.42578125" style="74"/>
    <col min="4860" max="4862" width="11.42578125" style="74" customWidth="1"/>
    <col min="4863" max="4863" width="0.85546875" style="74" customWidth="1"/>
    <col min="4864" max="4864" width="47.42578125" style="74" bestFit="1" customWidth="1"/>
    <col min="4865" max="4867" width="11.42578125" style="74" customWidth="1"/>
    <col min="4868" max="4868" width="0.85546875" style="74" customWidth="1"/>
    <col min="4869" max="4869" width="16.7109375" style="74" bestFit="1" customWidth="1"/>
    <col min="4870" max="4870" width="0.85546875" style="74" customWidth="1"/>
    <col min="4871" max="5115" width="11.42578125" style="74"/>
    <col min="5116" max="5118" width="11.42578125" style="74" customWidth="1"/>
    <col min="5119" max="5119" width="0.85546875" style="74" customWidth="1"/>
    <col min="5120" max="5120" width="47.42578125" style="74" bestFit="1" customWidth="1"/>
    <col min="5121" max="5123" width="11.42578125" style="74" customWidth="1"/>
    <col min="5124" max="5124" width="0.85546875" style="74" customWidth="1"/>
    <col min="5125" max="5125" width="16.7109375" style="74" bestFit="1" customWidth="1"/>
    <col min="5126" max="5126" width="0.85546875" style="74" customWidth="1"/>
    <col min="5127" max="5371" width="11.42578125" style="74"/>
    <col min="5372" max="5374" width="11.42578125" style="74" customWidth="1"/>
    <col min="5375" max="5375" width="0.85546875" style="74" customWidth="1"/>
    <col min="5376" max="5376" width="47.42578125" style="74" bestFit="1" customWidth="1"/>
    <col min="5377" max="5379" width="11.42578125" style="74" customWidth="1"/>
    <col min="5380" max="5380" width="0.85546875" style="74" customWidth="1"/>
    <col min="5381" max="5381" width="16.7109375" style="74" bestFit="1" customWidth="1"/>
    <col min="5382" max="5382" width="0.85546875" style="74" customWidth="1"/>
    <col min="5383" max="5627" width="11.42578125" style="74"/>
    <col min="5628" max="5630" width="11.42578125" style="74" customWidth="1"/>
    <col min="5631" max="5631" width="0.85546875" style="74" customWidth="1"/>
    <col min="5632" max="5632" width="47.42578125" style="74" bestFit="1" customWidth="1"/>
    <col min="5633" max="5635" width="11.42578125" style="74" customWidth="1"/>
    <col min="5636" max="5636" width="0.85546875" style="74" customWidth="1"/>
    <col min="5637" max="5637" width="16.7109375" style="74" bestFit="1" customWidth="1"/>
    <col min="5638" max="5638" width="0.85546875" style="74" customWidth="1"/>
    <col min="5639" max="5883" width="11.42578125" style="74"/>
    <col min="5884" max="5886" width="11.42578125" style="74" customWidth="1"/>
    <col min="5887" max="5887" width="0.85546875" style="74" customWidth="1"/>
    <col min="5888" max="5888" width="47.42578125" style="74" bestFit="1" customWidth="1"/>
    <col min="5889" max="5891" width="11.42578125" style="74" customWidth="1"/>
    <col min="5892" max="5892" width="0.85546875" style="74" customWidth="1"/>
    <col min="5893" max="5893" width="16.7109375" style="74" bestFit="1" customWidth="1"/>
    <col min="5894" max="5894" width="0.85546875" style="74" customWidth="1"/>
    <col min="5895" max="6139" width="11.42578125" style="74"/>
    <col min="6140" max="6142" width="11.42578125" style="74" customWidth="1"/>
    <col min="6143" max="6143" width="0.85546875" style="74" customWidth="1"/>
    <col min="6144" max="6144" width="47.42578125" style="74" bestFit="1" customWidth="1"/>
    <col min="6145" max="6147" width="11.42578125" style="74" customWidth="1"/>
    <col min="6148" max="6148" width="0.85546875" style="74" customWidth="1"/>
    <col min="6149" max="6149" width="16.7109375" style="74" bestFit="1" customWidth="1"/>
    <col min="6150" max="6150" width="0.85546875" style="74" customWidth="1"/>
    <col min="6151" max="6395" width="11.42578125" style="74"/>
    <col min="6396" max="6398" width="11.42578125" style="74" customWidth="1"/>
    <col min="6399" max="6399" width="0.85546875" style="74" customWidth="1"/>
    <col min="6400" max="6400" width="47.42578125" style="74" bestFit="1" customWidth="1"/>
    <col min="6401" max="6403" width="11.42578125" style="74" customWidth="1"/>
    <col min="6404" max="6404" width="0.85546875" style="74" customWidth="1"/>
    <col min="6405" max="6405" width="16.7109375" style="74" bestFit="1" customWidth="1"/>
    <col min="6406" max="6406" width="0.85546875" style="74" customWidth="1"/>
    <col min="6407" max="6651" width="11.42578125" style="74"/>
    <col min="6652" max="6654" width="11.42578125" style="74" customWidth="1"/>
    <col min="6655" max="6655" width="0.85546875" style="74" customWidth="1"/>
    <col min="6656" max="6656" width="47.42578125" style="74" bestFit="1" customWidth="1"/>
    <col min="6657" max="6659" width="11.42578125" style="74" customWidth="1"/>
    <col min="6660" max="6660" width="0.85546875" style="74" customWidth="1"/>
    <col min="6661" max="6661" width="16.7109375" style="74" bestFit="1" customWidth="1"/>
    <col min="6662" max="6662" width="0.85546875" style="74" customWidth="1"/>
    <col min="6663" max="6907" width="11.42578125" style="74"/>
    <col min="6908" max="6910" width="11.42578125" style="74" customWidth="1"/>
    <col min="6911" max="6911" width="0.85546875" style="74" customWidth="1"/>
    <col min="6912" max="6912" width="47.42578125" style="74" bestFit="1" customWidth="1"/>
    <col min="6913" max="6915" width="11.42578125" style="74" customWidth="1"/>
    <col min="6916" max="6916" width="0.85546875" style="74" customWidth="1"/>
    <col min="6917" max="6917" width="16.7109375" style="74" bestFit="1" customWidth="1"/>
    <col min="6918" max="6918" width="0.85546875" style="74" customWidth="1"/>
    <col min="6919" max="7163" width="11.42578125" style="74"/>
    <col min="7164" max="7166" width="11.42578125" style="74" customWidth="1"/>
    <col min="7167" max="7167" width="0.85546875" style="74" customWidth="1"/>
    <col min="7168" max="7168" width="47.42578125" style="74" bestFit="1" customWidth="1"/>
    <col min="7169" max="7171" width="11.42578125" style="74" customWidth="1"/>
    <col min="7172" max="7172" width="0.85546875" style="74" customWidth="1"/>
    <col min="7173" max="7173" width="16.7109375" style="74" bestFit="1" customWidth="1"/>
    <col min="7174" max="7174" width="0.85546875" style="74" customWidth="1"/>
    <col min="7175" max="7419" width="11.42578125" style="74"/>
    <col min="7420" max="7422" width="11.42578125" style="74" customWidth="1"/>
    <col min="7423" max="7423" width="0.85546875" style="74" customWidth="1"/>
    <col min="7424" max="7424" width="47.42578125" style="74" bestFit="1" customWidth="1"/>
    <col min="7425" max="7427" width="11.42578125" style="74" customWidth="1"/>
    <col min="7428" max="7428" width="0.85546875" style="74" customWidth="1"/>
    <col min="7429" max="7429" width="16.7109375" style="74" bestFit="1" customWidth="1"/>
    <col min="7430" max="7430" width="0.85546875" style="74" customWidth="1"/>
    <col min="7431" max="7675" width="11.42578125" style="74"/>
    <col min="7676" max="7678" width="11.42578125" style="74" customWidth="1"/>
    <col min="7679" max="7679" width="0.85546875" style="74" customWidth="1"/>
    <col min="7680" max="7680" width="47.42578125" style="74" bestFit="1" customWidth="1"/>
    <col min="7681" max="7683" width="11.42578125" style="74" customWidth="1"/>
    <col min="7684" max="7684" width="0.85546875" style="74" customWidth="1"/>
    <col min="7685" max="7685" width="16.7109375" style="74" bestFit="1" customWidth="1"/>
    <col min="7686" max="7686" width="0.85546875" style="74" customWidth="1"/>
    <col min="7687" max="7931" width="11.42578125" style="74"/>
    <col min="7932" max="7934" width="11.42578125" style="74" customWidth="1"/>
    <col min="7935" max="7935" width="0.85546875" style="74" customWidth="1"/>
    <col min="7936" max="7936" width="47.42578125" style="74" bestFit="1" customWidth="1"/>
    <col min="7937" max="7939" width="11.42578125" style="74" customWidth="1"/>
    <col min="7940" max="7940" width="0.85546875" style="74" customWidth="1"/>
    <col min="7941" max="7941" width="16.7109375" style="74" bestFit="1" customWidth="1"/>
    <col min="7942" max="7942" width="0.85546875" style="74" customWidth="1"/>
    <col min="7943" max="8187" width="11.42578125" style="74"/>
    <col min="8188" max="8190" width="11.42578125" style="74" customWidth="1"/>
    <col min="8191" max="8191" width="0.85546875" style="74" customWidth="1"/>
    <col min="8192" max="8192" width="47.42578125" style="74" bestFit="1" customWidth="1"/>
    <col min="8193" max="8195" width="11.42578125" style="74" customWidth="1"/>
    <col min="8196" max="8196" width="0.85546875" style="74" customWidth="1"/>
    <col min="8197" max="8197" width="16.7109375" style="74" bestFit="1" customWidth="1"/>
    <col min="8198" max="8198" width="0.85546875" style="74" customWidth="1"/>
    <col min="8199" max="8443" width="11.42578125" style="74"/>
    <col min="8444" max="8446" width="11.42578125" style="74" customWidth="1"/>
    <col min="8447" max="8447" width="0.85546875" style="74" customWidth="1"/>
    <col min="8448" max="8448" width="47.42578125" style="74" bestFit="1" customWidth="1"/>
    <col min="8449" max="8451" width="11.42578125" style="74" customWidth="1"/>
    <col min="8452" max="8452" width="0.85546875" style="74" customWidth="1"/>
    <col min="8453" max="8453" width="16.7109375" style="74" bestFit="1" customWidth="1"/>
    <col min="8454" max="8454" width="0.85546875" style="74" customWidth="1"/>
    <col min="8455" max="8699" width="11.42578125" style="74"/>
    <col min="8700" max="8702" width="11.42578125" style="74" customWidth="1"/>
    <col min="8703" max="8703" width="0.85546875" style="74" customWidth="1"/>
    <col min="8704" max="8704" width="47.42578125" style="74" bestFit="1" customWidth="1"/>
    <col min="8705" max="8707" width="11.42578125" style="74" customWidth="1"/>
    <col min="8708" max="8708" width="0.85546875" style="74" customWidth="1"/>
    <col min="8709" max="8709" width="16.7109375" style="74" bestFit="1" customWidth="1"/>
    <col min="8710" max="8710" width="0.85546875" style="74" customWidth="1"/>
    <col min="8711" max="8955" width="11.42578125" style="74"/>
    <col min="8956" max="8958" width="11.42578125" style="74" customWidth="1"/>
    <col min="8959" max="8959" width="0.85546875" style="74" customWidth="1"/>
    <col min="8960" max="8960" width="47.42578125" style="74" bestFit="1" customWidth="1"/>
    <col min="8961" max="8963" width="11.42578125" style="74" customWidth="1"/>
    <col min="8964" max="8964" width="0.85546875" style="74" customWidth="1"/>
    <col min="8965" max="8965" width="16.7109375" style="74" bestFit="1" customWidth="1"/>
    <col min="8966" max="8966" width="0.85546875" style="74" customWidth="1"/>
    <col min="8967" max="9211" width="11.42578125" style="74"/>
    <col min="9212" max="9214" width="11.42578125" style="74" customWidth="1"/>
    <col min="9215" max="9215" width="0.85546875" style="74" customWidth="1"/>
    <col min="9216" max="9216" width="47.42578125" style="74" bestFit="1" customWidth="1"/>
    <col min="9217" max="9219" width="11.42578125" style="74" customWidth="1"/>
    <col min="9220" max="9220" width="0.85546875" style="74" customWidth="1"/>
    <col min="9221" max="9221" width="16.7109375" style="74" bestFit="1" customWidth="1"/>
    <col min="9222" max="9222" width="0.85546875" style="74" customWidth="1"/>
    <col min="9223" max="9467" width="11.42578125" style="74"/>
    <col min="9468" max="9470" width="11.42578125" style="74" customWidth="1"/>
    <col min="9471" max="9471" width="0.85546875" style="74" customWidth="1"/>
    <col min="9472" max="9472" width="47.42578125" style="74" bestFit="1" customWidth="1"/>
    <col min="9473" max="9475" width="11.42578125" style="74" customWidth="1"/>
    <col min="9476" max="9476" width="0.85546875" style="74" customWidth="1"/>
    <col min="9477" max="9477" width="16.7109375" style="74" bestFit="1" customWidth="1"/>
    <col min="9478" max="9478" width="0.85546875" style="74" customWidth="1"/>
    <col min="9479" max="9723" width="11.42578125" style="74"/>
    <col min="9724" max="9726" width="11.42578125" style="74" customWidth="1"/>
    <col min="9727" max="9727" width="0.85546875" style="74" customWidth="1"/>
    <col min="9728" max="9728" width="47.42578125" style="74" bestFit="1" customWidth="1"/>
    <col min="9729" max="9731" width="11.42578125" style="74" customWidth="1"/>
    <col min="9732" max="9732" width="0.85546875" style="74" customWidth="1"/>
    <col min="9733" max="9733" width="16.7109375" style="74" bestFit="1" customWidth="1"/>
    <col min="9734" max="9734" width="0.85546875" style="74" customWidth="1"/>
    <col min="9735" max="9979" width="11.42578125" style="74"/>
    <col min="9980" max="9982" width="11.42578125" style="74" customWidth="1"/>
    <col min="9983" max="9983" width="0.85546875" style="74" customWidth="1"/>
    <col min="9984" max="9984" width="47.42578125" style="74" bestFit="1" customWidth="1"/>
    <col min="9985" max="9987" width="11.42578125" style="74" customWidth="1"/>
    <col min="9988" max="9988" width="0.85546875" style="74" customWidth="1"/>
    <col min="9989" max="9989" width="16.7109375" style="74" bestFit="1" customWidth="1"/>
    <col min="9990" max="9990" width="0.85546875" style="74" customWidth="1"/>
    <col min="9991" max="10235" width="11.42578125" style="74"/>
    <col min="10236" max="10238" width="11.42578125" style="74" customWidth="1"/>
    <col min="10239" max="10239" width="0.85546875" style="74" customWidth="1"/>
    <col min="10240" max="10240" width="47.42578125" style="74" bestFit="1" customWidth="1"/>
    <col min="10241" max="10243" width="11.42578125" style="74" customWidth="1"/>
    <col min="10244" max="10244" width="0.85546875" style="74" customWidth="1"/>
    <col min="10245" max="10245" width="16.7109375" style="74" bestFit="1" customWidth="1"/>
    <col min="10246" max="10246" width="0.85546875" style="74" customWidth="1"/>
    <col min="10247" max="10491" width="11.42578125" style="74"/>
    <col min="10492" max="10494" width="11.42578125" style="74" customWidth="1"/>
    <col min="10495" max="10495" width="0.85546875" style="74" customWidth="1"/>
    <col min="10496" max="10496" width="47.42578125" style="74" bestFit="1" customWidth="1"/>
    <col min="10497" max="10499" width="11.42578125" style="74" customWidth="1"/>
    <col min="10500" max="10500" width="0.85546875" style="74" customWidth="1"/>
    <col min="10501" max="10501" width="16.7109375" style="74" bestFit="1" customWidth="1"/>
    <col min="10502" max="10502" width="0.85546875" style="74" customWidth="1"/>
    <col min="10503" max="10747" width="11.42578125" style="74"/>
    <col min="10748" max="10750" width="11.42578125" style="74" customWidth="1"/>
    <col min="10751" max="10751" width="0.85546875" style="74" customWidth="1"/>
    <col min="10752" max="10752" width="47.42578125" style="74" bestFit="1" customWidth="1"/>
    <col min="10753" max="10755" width="11.42578125" style="74" customWidth="1"/>
    <col min="10756" max="10756" width="0.85546875" style="74" customWidth="1"/>
    <col min="10757" max="10757" width="16.7109375" style="74" bestFit="1" customWidth="1"/>
    <col min="10758" max="10758" width="0.85546875" style="74" customWidth="1"/>
    <col min="10759" max="11003" width="11.42578125" style="74"/>
    <col min="11004" max="11006" width="11.42578125" style="74" customWidth="1"/>
    <col min="11007" max="11007" width="0.85546875" style="74" customWidth="1"/>
    <col min="11008" max="11008" width="47.42578125" style="74" bestFit="1" customWidth="1"/>
    <col min="11009" max="11011" width="11.42578125" style="74" customWidth="1"/>
    <col min="11012" max="11012" width="0.85546875" style="74" customWidth="1"/>
    <col min="11013" max="11013" width="16.7109375" style="74" bestFit="1" customWidth="1"/>
    <col min="11014" max="11014" width="0.85546875" style="74" customWidth="1"/>
    <col min="11015" max="11259" width="11.42578125" style="74"/>
    <col min="11260" max="11262" width="11.42578125" style="74" customWidth="1"/>
    <col min="11263" max="11263" width="0.85546875" style="74" customWidth="1"/>
    <col min="11264" max="11264" width="47.42578125" style="74" bestFit="1" customWidth="1"/>
    <col min="11265" max="11267" width="11.42578125" style="74" customWidth="1"/>
    <col min="11268" max="11268" width="0.85546875" style="74" customWidth="1"/>
    <col min="11269" max="11269" width="16.7109375" style="74" bestFit="1" customWidth="1"/>
    <col min="11270" max="11270" width="0.85546875" style="74" customWidth="1"/>
    <col min="11271" max="11515" width="11.42578125" style="74"/>
    <col min="11516" max="11518" width="11.42578125" style="74" customWidth="1"/>
    <col min="11519" max="11519" width="0.85546875" style="74" customWidth="1"/>
    <col min="11520" max="11520" width="47.42578125" style="74" bestFit="1" customWidth="1"/>
    <col min="11521" max="11523" width="11.42578125" style="74" customWidth="1"/>
    <col min="11524" max="11524" width="0.85546875" style="74" customWidth="1"/>
    <col min="11525" max="11525" width="16.7109375" style="74" bestFit="1" customWidth="1"/>
    <col min="11526" max="11526" width="0.85546875" style="74" customWidth="1"/>
    <col min="11527" max="11771" width="11.42578125" style="74"/>
    <col min="11772" max="11774" width="11.42578125" style="74" customWidth="1"/>
    <col min="11775" max="11775" width="0.85546875" style="74" customWidth="1"/>
    <col min="11776" max="11776" width="47.42578125" style="74" bestFit="1" customWidth="1"/>
    <col min="11777" max="11779" width="11.42578125" style="74" customWidth="1"/>
    <col min="11780" max="11780" width="0.85546875" style="74" customWidth="1"/>
    <col min="11781" max="11781" width="16.7109375" style="74" bestFit="1" customWidth="1"/>
    <col min="11782" max="11782" width="0.85546875" style="74" customWidth="1"/>
    <col min="11783" max="12027" width="11.42578125" style="74"/>
    <col min="12028" max="12030" width="11.42578125" style="74" customWidth="1"/>
    <col min="12031" max="12031" width="0.85546875" style="74" customWidth="1"/>
    <col min="12032" max="12032" width="47.42578125" style="74" bestFit="1" customWidth="1"/>
    <col min="12033" max="12035" width="11.42578125" style="74" customWidth="1"/>
    <col min="12036" max="12036" width="0.85546875" style="74" customWidth="1"/>
    <col min="12037" max="12037" width="16.7109375" style="74" bestFit="1" customWidth="1"/>
    <col min="12038" max="12038" width="0.85546875" style="74" customWidth="1"/>
    <col min="12039" max="12283" width="11.42578125" style="74"/>
    <col min="12284" max="12286" width="11.42578125" style="74" customWidth="1"/>
    <col min="12287" max="12287" width="0.85546875" style="74" customWidth="1"/>
    <col min="12288" max="12288" width="47.42578125" style="74" bestFit="1" customWidth="1"/>
    <col min="12289" max="12291" width="11.42578125" style="74" customWidth="1"/>
    <col min="12292" max="12292" width="0.85546875" style="74" customWidth="1"/>
    <col min="12293" max="12293" width="16.7109375" style="74" bestFit="1" customWidth="1"/>
    <col min="12294" max="12294" width="0.85546875" style="74" customWidth="1"/>
    <col min="12295" max="12539" width="11.42578125" style="74"/>
    <col min="12540" max="12542" width="11.42578125" style="74" customWidth="1"/>
    <col min="12543" max="12543" width="0.85546875" style="74" customWidth="1"/>
    <col min="12544" max="12544" width="47.42578125" style="74" bestFit="1" customWidth="1"/>
    <col min="12545" max="12547" width="11.42578125" style="74" customWidth="1"/>
    <col min="12548" max="12548" width="0.85546875" style="74" customWidth="1"/>
    <col min="12549" max="12549" width="16.7109375" style="74" bestFit="1" customWidth="1"/>
    <col min="12550" max="12550" width="0.85546875" style="74" customWidth="1"/>
    <col min="12551" max="12795" width="11.42578125" style="74"/>
    <col min="12796" max="12798" width="11.42578125" style="74" customWidth="1"/>
    <col min="12799" max="12799" width="0.85546875" style="74" customWidth="1"/>
    <col min="12800" max="12800" width="47.42578125" style="74" bestFit="1" customWidth="1"/>
    <col min="12801" max="12803" width="11.42578125" style="74" customWidth="1"/>
    <col min="12804" max="12804" width="0.85546875" style="74" customWidth="1"/>
    <col min="12805" max="12805" width="16.7109375" style="74" bestFit="1" customWidth="1"/>
    <col min="12806" max="12806" width="0.85546875" style="74" customWidth="1"/>
    <col min="12807" max="13051" width="11.42578125" style="74"/>
    <col min="13052" max="13054" width="11.42578125" style="74" customWidth="1"/>
    <col min="13055" max="13055" width="0.85546875" style="74" customWidth="1"/>
    <col min="13056" max="13056" width="47.42578125" style="74" bestFit="1" customWidth="1"/>
    <col min="13057" max="13059" width="11.42578125" style="74" customWidth="1"/>
    <col min="13060" max="13060" width="0.85546875" style="74" customWidth="1"/>
    <col min="13061" max="13061" width="16.7109375" style="74" bestFit="1" customWidth="1"/>
    <col min="13062" max="13062" width="0.85546875" style="74" customWidth="1"/>
    <col min="13063" max="13307" width="11.42578125" style="74"/>
    <col min="13308" max="13310" width="11.42578125" style="74" customWidth="1"/>
    <col min="13311" max="13311" width="0.85546875" style="74" customWidth="1"/>
    <col min="13312" max="13312" width="47.42578125" style="74" bestFit="1" customWidth="1"/>
    <col min="13313" max="13315" width="11.42578125" style="74" customWidth="1"/>
    <col min="13316" max="13316" width="0.85546875" style="74" customWidth="1"/>
    <col min="13317" max="13317" width="16.7109375" style="74" bestFit="1" customWidth="1"/>
    <col min="13318" max="13318" width="0.85546875" style="74" customWidth="1"/>
    <col min="13319" max="13563" width="11.42578125" style="74"/>
    <col min="13564" max="13566" width="11.42578125" style="74" customWidth="1"/>
    <col min="13567" max="13567" width="0.85546875" style="74" customWidth="1"/>
    <col min="13568" max="13568" width="47.42578125" style="74" bestFit="1" customWidth="1"/>
    <col min="13569" max="13571" width="11.42578125" style="74" customWidth="1"/>
    <col min="13572" max="13572" width="0.85546875" style="74" customWidth="1"/>
    <col min="13573" max="13573" width="16.7109375" style="74" bestFit="1" customWidth="1"/>
    <col min="13574" max="13574" width="0.85546875" style="74" customWidth="1"/>
    <col min="13575" max="13819" width="11.42578125" style="74"/>
    <col min="13820" max="13822" width="11.42578125" style="74" customWidth="1"/>
    <col min="13823" max="13823" width="0.85546875" style="74" customWidth="1"/>
    <col min="13824" max="13824" width="47.42578125" style="74" bestFit="1" customWidth="1"/>
    <col min="13825" max="13827" width="11.42578125" style="74" customWidth="1"/>
    <col min="13828" max="13828" width="0.85546875" style="74" customWidth="1"/>
    <col min="13829" max="13829" width="16.7109375" style="74" bestFit="1" customWidth="1"/>
    <col min="13830" max="13830" width="0.85546875" style="74" customWidth="1"/>
    <col min="13831" max="14075" width="11.42578125" style="74"/>
    <col min="14076" max="14078" width="11.42578125" style="74" customWidth="1"/>
    <col min="14079" max="14079" width="0.85546875" style="74" customWidth="1"/>
    <col min="14080" max="14080" width="47.42578125" style="74" bestFit="1" customWidth="1"/>
    <col min="14081" max="14083" width="11.42578125" style="74" customWidth="1"/>
    <col min="14084" max="14084" width="0.85546875" style="74" customWidth="1"/>
    <col min="14085" max="14085" width="16.7109375" style="74" bestFit="1" customWidth="1"/>
    <col min="14086" max="14086" width="0.85546875" style="74" customWidth="1"/>
    <col min="14087" max="14331" width="11.42578125" style="74"/>
    <col min="14332" max="14334" width="11.42578125" style="74" customWidth="1"/>
    <col min="14335" max="14335" width="0.85546875" style="74" customWidth="1"/>
    <col min="14336" max="14336" width="47.42578125" style="74" bestFit="1" customWidth="1"/>
    <col min="14337" max="14339" width="11.42578125" style="74" customWidth="1"/>
    <col min="14340" max="14340" width="0.85546875" style="74" customWidth="1"/>
    <col min="14341" max="14341" width="16.7109375" style="74" bestFit="1" customWidth="1"/>
    <col min="14342" max="14342" width="0.85546875" style="74" customWidth="1"/>
    <col min="14343" max="14587" width="11.42578125" style="74"/>
    <col min="14588" max="14590" width="11.42578125" style="74" customWidth="1"/>
    <col min="14591" max="14591" width="0.85546875" style="74" customWidth="1"/>
    <col min="14592" max="14592" width="47.42578125" style="74" bestFit="1" customWidth="1"/>
    <col min="14593" max="14595" width="11.42578125" style="74" customWidth="1"/>
    <col min="14596" max="14596" width="0.85546875" style="74" customWidth="1"/>
    <col min="14597" max="14597" width="16.7109375" style="74" bestFit="1" customWidth="1"/>
    <col min="14598" max="14598" width="0.85546875" style="74" customWidth="1"/>
    <col min="14599" max="14843" width="11.42578125" style="74"/>
    <col min="14844" max="14846" width="11.42578125" style="74" customWidth="1"/>
    <col min="14847" max="14847" width="0.85546875" style="74" customWidth="1"/>
    <col min="14848" max="14848" width="47.42578125" style="74" bestFit="1" customWidth="1"/>
    <col min="14849" max="14851" width="11.42578125" style="74" customWidth="1"/>
    <col min="14852" max="14852" width="0.85546875" style="74" customWidth="1"/>
    <col min="14853" max="14853" width="16.7109375" style="74" bestFit="1" customWidth="1"/>
    <col min="14854" max="14854" width="0.85546875" style="74" customWidth="1"/>
    <col min="14855" max="15099" width="11.42578125" style="74"/>
    <col min="15100" max="15102" width="11.42578125" style="74" customWidth="1"/>
    <col min="15103" max="15103" width="0.85546875" style="74" customWidth="1"/>
    <col min="15104" max="15104" width="47.42578125" style="74" bestFit="1" customWidth="1"/>
    <col min="15105" max="15107" width="11.42578125" style="74" customWidth="1"/>
    <col min="15108" max="15108" width="0.85546875" style="74" customWidth="1"/>
    <col min="15109" max="15109" width="16.7109375" style="74" bestFit="1" customWidth="1"/>
    <col min="15110" max="15110" width="0.85546875" style="74" customWidth="1"/>
    <col min="15111" max="15355" width="11.42578125" style="74"/>
    <col min="15356" max="15358" width="11.42578125" style="74" customWidth="1"/>
    <col min="15359" max="15359" width="0.85546875" style="74" customWidth="1"/>
    <col min="15360" max="15360" width="47.42578125" style="74" bestFit="1" customWidth="1"/>
    <col min="15361" max="15363" width="11.42578125" style="74" customWidth="1"/>
    <col min="15364" max="15364" width="0.85546875" style="74" customWidth="1"/>
    <col min="15365" max="15365" width="16.7109375" style="74" bestFit="1" customWidth="1"/>
    <col min="15366" max="15366" width="0.85546875" style="74" customWidth="1"/>
    <col min="15367" max="15611" width="11.42578125" style="74"/>
    <col min="15612" max="15614" width="11.42578125" style="74" customWidth="1"/>
    <col min="15615" max="15615" width="0.85546875" style="74" customWidth="1"/>
    <col min="15616" max="15616" width="47.42578125" style="74" bestFit="1" customWidth="1"/>
    <col min="15617" max="15619" width="11.42578125" style="74" customWidth="1"/>
    <col min="15620" max="15620" width="0.85546875" style="74" customWidth="1"/>
    <col min="15621" max="15621" width="16.7109375" style="74" bestFit="1" customWidth="1"/>
    <col min="15622" max="15622" width="0.85546875" style="74" customWidth="1"/>
    <col min="15623" max="15867" width="11.42578125" style="74"/>
    <col min="15868" max="15870" width="11.42578125" style="74" customWidth="1"/>
    <col min="15871" max="15871" width="0.85546875" style="74" customWidth="1"/>
    <col min="15872" max="15872" width="47.42578125" style="74" bestFit="1" customWidth="1"/>
    <col min="15873" max="15875" width="11.42578125" style="74" customWidth="1"/>
    <col min="15876" max="15876" width="0.85546875" style="74" customWidth="1"/>
    <col min="15877" max="15877" width="16.7109375" style="74" bestFit="1" customWidth="1"/>
    <col min="15878" max="15878" width="0.85546875" style="74" customWidth="1"/>
    <col min="15879" max="16123" width="11.42578125" style="74"/>
    <col min="16124" max="16126" width="11.42578125" style="74" customWidth="1"/>
    <col min="16127" max="16127" width="0.85546875" style="74" customWidth="1"/>
    <col min="16128" max="16128" width="47.42578125" style="74" bestFit="1" customWidth="1"/>
    <col min="16129" max="16131" width="11.42578125" style="74" customWidth="1"/>
    <col min="16132" max="16132" width="0.85546875" style="74" customWidth="1"/>
    <col min="16133" max="16133" width="16.7109375" style="74" bestFit="1" customWidth="1"/>
    <col min="16134" max="16134" width="0.85546875" style="74" customWidth="1"/>
    <col min="16135" max="16384" width="11.42578125" style="74"/>
  </cols>
  <sheetData>
    <row r="1" spans="2:10" s="70" customFormat="1" ht="12.75">
      <c r="B1" s="69"/>
      <c r="D1" s="71"/>
      <c r="G1" s="72"/>
      <c r="H1" s="72"/>
      <c r="I1" s="72"/>
    </row>
    <row r="2" spans="2:10" s="70" customFormat="1" ht="12.75">
      <c r="D2" s="71"/>
      <c r="G2" s="72"/>
      <c r="H2" s="72"/>
      <c r="I2" s="72"/>
    </row>
    <row r="3" spans="2:10" s="70" customFormat="1" ht="15.75">
      <c r="C3" s="73" t="s">
        <v>272</v>
      </c>
      <c r="D3" s="71"/>
      <c r="G3" s="72"/>
      <c r="H3" s="72"/>
      <c r="I3" s="72"/>
    </row>
    <row r="4" spans="2:10">
      <c r="C4" s="75"/>
      <c r="D4" s="76"/>
      <c r="E4" s="77"/>
      <c r="F4" s="77"/>
      <c r="G4" s="78"/>
      <c r="H4" s="78"/>
      <c r="I4" s="79"/>
    </row>
    <row r="5" spans="2:10" ht="30" customHeight="1">
      <c r="C5" s="80"/>
      <c r="D5" s="731" t="s">
        <v>116</v>
      </c>
      <c r="E5" s="731"/>
      <c r="F5" s="81"/>
      <c r="G5" s="72"/>
      <c r="H5" s="72"/>
      <c r="I5" s="72"/>
    </row>
    <row r="6" spans="2:10" s="82" customFormat="1">
      <c r="D6" s="83" t="s">
        <v>132</v>
      </c>
      <c r="E6" s="84">
        <v>7000000</v>
      </c>
      <c r="F6" s="84"/>
      <c r="G6" s="72"/>
      <c r="H6" s="72"/>
      <c r="I6" s="72"/>
    </row>
    <row r="7" spans="2:10" s="82" customFormat="1">
      <c r="C7" s="85"/>
      <c r="D7" s="83" t="s">
        <v>117</v>
      </c>
      <c r="E7" s="84"/>
      <c r="F7" s="84"/>
      <c r="G7" s="72"/>
      <c r="H7" s="72"/>
      <c r="I7" s="72"/>
    </row>
    <row r="8" spans="2:10" s="82" customFormat="1">
      <c r="C8" s="86"/>
      <c r="D8" s="87" t="s">
        <v>118</v>
      </c>
      <c r="E8" s="84">
        <v>0</v>
      </c>
      <c r="F8" s="84"/>
      <c r="G8" s="72"/>
      <c r="H8" s="72"/>
      <c r="I8" s="72"/>
    </row>
    <row r="9" spans="2:10" s="82" customFormat="1">
      <c r="C9" s="85"/>
      <c r="D9" s="88"/>
      <c r="E9" s="84"/>
      <c r="F9" s="84"/>
      <c r="G9" s="72"/>
      <c r="H9" s="72"/>
      <c r="I9" s="72"/>
    </row>
    <row r="10" spans="2:10" s="82" customFormat="1">
      <c r="C10" s="86"/>
      <c r="D10" s="89" t="s">
        <v>119</v>
      </c>
      <c r="E10" s="90">
        <f>SUM(E6:E9)</f>
        <v>7000000</v>
      </c>
      <c r="F10" s="91"/>
      <c r="G10" s="72"/>
      <c r="H10" s="72"/>
      <c r="I10" s="72"/>
    </row>
    <row r="11" spans="2:10" s="82" customFormat="1" ht="15.75" thickBot="1">
      <c r="C11" s="86"/>
      <c r="D11" s="83" t="s">
        <v>135</v>
      </c>
      <c r="E11" s="92"/>
      <c r="F11" s="84"/>
      <c r="G11" s="72"/>
      <c r="H11" s="72"/>
      <c r="I11" s="72"/>
    </row>
    <row r="12" spans="2:10" s="82" customFormat="1" ht="15.75" customHeight="1" thickTop="1">
      <c r="C12" s="86"/>
      <c r="D12" s="83"/>
      <c r="E12" s="84">
        <f>SUM(E10:E11)</f>
        <v>7000000</v>
      </c>
      <c r="F12" s="84"/>
      <c r="G12" s="72"/>
      <c r="H12" s="72"/>
      <c r="I12" s="72"/>
    </row>
    <row r="13" spans="2:10" s="82" customFormat="1" ht="15" customHeight="1">
      <c r="C13" s="93"/>
      <c r="D13" s="94"/>
      <c r="E13" s="95"/>
      <c r="F13" s="91"/>
      <c r="G13" s="72"/>
      <c r="H13" s="72"/>
      <c r="I13" s="72"/>
    </row>
    <row r="14" spans="2:10">
      <c r="G14" s="72"/>
      <c r="H14" s="72"/>
      <c r="I14" s="72"/>
    </row>
    <row r="15" spans="2:10" ht="63.75" customHeight="1">
      <c r="D15" s="99" t="s">
        <v>198</v>
      </c>
      <c r="E15" s="100" t="s">
        <v>121</v>
      </c>
      <c r="F15" s="100" t="s">
        <v>122</v>
      </c>
      <c r="G15" s="99" t="s">
        <v>123</v>
      </c>
      <c r="H15" s="99" t="s">
        <v>124</v>
      </c>
      <c r="I15" s="99" t="s">
        <v>125</v>
      </c>
      <c r="J15" s="99" t="s">
        <v>134</v>
      </c>
    </row>
    <row r="16" spans="2:10" s="101" customFormat="1" ht="22.5" customHeight="1">
      <c r="C16" s="102"/>
      <c r="D16" s="103" t="s">
        <v>133</v>
      </c>
      <c r="E16" s="104">
        <v>2</v>
      </c>
      <c r="F16" s="104">
        <v>24</v>
      </c>
      <c r="G16" s="105">
        <f>+E12</f>
        <v>7000000</v>
      </c>
      <c r="H16" s="105">
        <v>12</v>
      </c>
      <c r="I16" s="106">
        <f>+G16/F16*H16</f>
        <v>3500000</v>
      </c>
      <c r="J16" s="106">
        <f>+G16-I16</f>
        <v>3500000</v>
      </c>
    </row>
    <row r="19" spans="4:10" ht="15.75">
      <c r="D19" s="73"/>
      <c r="E19" s="71"/>
      <c r="F19" s="70"/>
    </row>
    <row r="20" spans="4:10">
      <c r="D20" s="75"/>
      <c r="E20" s="76"/>
      <c r="F20" s="77"/>
    </row>
    <row r="21" spans="4:10">
      <c r="D21" s="80"/>
      <c r="E21" s="731" t="s">
        <v>126</v>
      </c>
      <c r="F21" s="731"/>
    </row>
    <row r="22" spans="4:10" ht="45">
      <c r="D22" s="82"/>
      <c r="E22" s="83" t="s">
        <v>132</v>
      </c>
      <c r="F22" s="84">
        <v>217260000</v>
      </c>
    </row>
    <row r="23" spans="4:10">
      <c r="D23" s="85"/>
      <c r="E23" s="88"/>
      <c r="F23" s="84">
        <v>100000000</v>
      </c>
    </row>
    <row r="24" spans="4:10">
      <c r="D24" s="86"/>
      <c r="E24" s="89" t="s">
        <v>119</v>
      </c>
      <c r="F24" s="90">
        <f>SUM(F22:F23)</f>
        <v>317260000</v>
      </c>
    </row>
    <row r="25" spans="4:10" ht="30.75" thickBot="1">
      <c r="D25" s="86"/>
      <c r="E25" s="83" t="s">
        <v>136</v>
      </c>
      <c r="F25" s="92"/>
    </row>
    <row r="26" spans="4:10" ht="15.75" thickTop="1">
      <c r="D26" s="86"/>
      <c r="E26" s="83" t="s">
        <v>120</v>
      </c>
      <c r="F26" s="84">
        <f>SUM(F24:F25)</f>
        <v>317260000</v>
      </c>
    </row>
    <row r="27" spans="4:10" ht="30">
      <c r="D27" s="93"/>
      <c r="E27" s="94" t="s">
        <v>127</v>
      </c>
      <c r="F27" s="95"/>
    </row>
    <row r="29" spans="4:10" ht="45">
      <c r="D29" s="99" t="s">
        <v>198</v>
      </c>
      <c r="E29" s="100" t="s">
        <v>121</v>
      </c>
      <c r="F29" s="100" t="s">
        <v>122</v>
      </c>
      <c r="G29" s="99" t="s">
        <v>123</v>
      </c>
      <c r="H29" s="99" t="s">
        <v>124</v>
      </c>
      <c r="I29" s="99" t="s">
        <v>125</v>
      </c>
      <c r="J29" s="99" t="s">
        <v>134</v>
      </c>
    </row>
    <row r="30" spans="4:10">
      <c r="D30" s="103" t="s">
        <v>137</v>
      </c>
      <c r="E30" s="104"/>
      <c r="F30" s="104">
        <f>+E30*12</f>
        <v>0</v>
      </c>
      <c r="G30" s="105">
        <f>+F26</f>
        <v>317260000</v>
      </c>
      <c r="H30" s="105"/>
      <c r="I30" s="106"/>
      <c r="J30" s="106">
        <f>+G30-I30</f>
        <v>317260000</v>
      </c>
    </row>
    <row r="33" spans="4:10" ht="15.75">
      <c r="D33" s="73"/>
      <c r="E33" s="71"/>
      <c r="F33" s="70"/>
    </row>
    <row r="34" spans="4:10">
      <c r="D34" s="75"/>
      <c r="E34" s="76"/>
      <c r="F34" s="77"/>
    </row>
    <row r="35" spans="4:10">
      <c r="D35" s="80"/>
      <c r="E35" s="731" t="s">
        <v>128</v>
      </c>
      <c r="F35" s="731"/>
    </row>
    <row r="36" spans="4:10" ht="45">
      <c r="D36" s="82"/>
      <c r="E36" s="83" t="s">
        <v>132</v>
      </c>
      <c r="F36" s="84">
        <v>37500000</v>
      </c>
    </row>
    <row r="37" spans="4:10">
      <c r="D37" s="85"/>
      <c r="E37" s="88"/>
      <c r="F37" s="84">
        <v>12500000</v>
      </c>
    </row>
    <row r="38" spans="4:10">
      <c r="D38" s="86"/>
      <c r="E38" s="89" t="s">
        <v>119</v>
      </c>
      <c r="F38" s="90">
        <f>SUM(F36:F37)</f>
        <v>50000000</v>
      </c>
    </row>
    <row r="39" spans="4:10" ht="30.75" thickBot="1">
      <c r="D39" s="86"/>
      <c r="E39" s="83" t="s">
        <v>136</v>
      </c>
      <c r="F39" s="92"/>
    </row>
    <row r="40" spans="4:10" ht="15.75" thickTop="1">
      <c r="D40" s="86"/>
      <c r="E40" s="83" t="s">
        <v>120</v>
      </c>
      <c r="F40" s="84">
        <f>SUM(F38:F39)</f>
        <v>50000000</v>
      </c>
    </row>
    <row r="41" spans="4:10" ht="30">
      <c r="D41" s="93"/>
      <c r="E41" s="94" t="s">
        <v>127</v>
      </c>
      <c r="F41" s="95"/>
    </row>
    <row r="43" spans="4:10" ht="45">
      <c r="D43" s="99" t="s">
        <v>198</v>
      </c>
      <c r="E43" s="100" t="s">
        <v>121</v>
      </c>
      <c r="F43" s="100" t="s">
        <v>122</v>
      </c>
      <c r="G43" s="99" t="s">
        <v>123</v>
      </c>
      <c r="H43" s="99" t="s">
        <v>124</v>
      </c>
      <c r="I43" s="99" t="s">
        <v>125</v>
      </c>
      <c r="J43" s="99" t="s">
        <v>134</v>
      </c>
    </row>
    <row r="44" spans="4:10">
      <c r="D44" s="103" t="s">
        <v>137</v>
      </c>
      <c r="E44" s="104">
        <v>30</v>
      </c>
      <c r="F44" s="104">
        <f>+E44*12</f>
        <v>360</v>
      </c>
      <c r="G44" s="105">
        <f>+F40</f>
        <v>50000000</v>
      </c>
      <c r="H44" s="105">
        <v>12</v>
      </c>
      <c r="I44" s="106">
        <f>+G44/F44*H44</f>
        <v>1666666.6666666665</v>
      </c>
      <c r="J44" s="106">
        <f>+G44-I44</f>
        <v>48333333.333333336</v>
      </c>
    </row>
    <row r="49" spans="4:6" ht="15.75">
      <c r="D49" s="73" t="s">
        <v>138</v>
      </c>
      <c r="E49" s="71"/>
      <c r="F49" s="70"/>
    </row>
    <row r="50" spans="4:6">
      <c r="D50" s="75"/>
      <c r="E50" s="76"/>
      <c r="F50" s="77"/>
    </row>
    <row r="51" spans="4:6">
      <c r="D51" s="80"/>
      <c r="E51" s="731"/>
      <c r="F51" s="731"/>
    </row>
    <row r="52" spans="4:6">
      <c r="D52" s="82"/>
      <c r="E52" s="83" t="s">
        <v>129</v>
      </c>
      <c r="F52" s="84">
        <f>+'balance 2022 inicial los andes '!G10</f>
        <v>695000000</v>
      </c>
    </row>
    <row r="53" spans="4:6">
      <c r="D53" s="85"/>
      <c r="E53" s="109" t="s">
        <v>130</v>
      </c>
      <c r="F53" s="84">
        <v>375000000</v>
      </c>
    </row>
    <row r="54" spans="4:6">
      <c r="D54" s="86"/>
      <c r="E54" s="89" t="s">
        <v>131</v>
      </c>
      <c r="F54" s="90">
        <f>+F52-F53</f>
        <v>320000000</v>
      </c>
    </row>
  </sheetData>
  <mergeCells count="4">
    <mergeCell ref="D5:E5"/>
    <mergeCell ref="E21:F21"/>
    <mergeCell ref="E35:F35"/>
    <mergeCell ref="E51:F51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59"/>
  <sheetViews>
    <sheetView topLeftCell="A27" workbookViewId="0">
      <selection activeCell="H59" sqref="H59"/>
    </sheetView>
  </sheetViews>
  <sheetFormatPr baseColWidth="10" defaultRowHeight="15"/>
  <cols>
    <col min="7" max="8" width="13.7109375" bestFit="1" customWidth="1"/>
  </cols>
  <sheetData>
    <row r="3" spans="4:8">
      <c r="D3" s="9" t="s">
        <v>188</v>
      </c>
      <c r="G3" s="5"/>
      <c r="H3" s="5">
        <f>+'balance 2023 los andes antes im'!I82</f>
        <v>133220171.95805961</v>
      </c>
    </row>
    <row r="4" spans="4:8">
      <c r="D4" s="9" t="s">
        <v>189</v>
      </c>
    </row>
    <row r="5" spans="4:8">
      <c r="D5" t="s">
        <v>742</v>
      </c>
      <c r="G5" s="111">
        <f>+'base imponible  at 2024'!F8</f>
        <v>109243697.4789916</v>
      </c>
    </row>
    <row r="6" spans="4:8">
      <c r="D6" t="s">
        <v>190</v>
      </c>
      <c r="G6" s="111">
        <f>+'base imponible  at 2024'!D56</f>
        <v>34090277.777777776</v>
      </c>
    </row>
    <row r="7" spans="4:8">
      <c r="D7" t="s">
        <v>751</v>
      </c>
      <c r="G7" s="111">
        <f>+'base imponible  at 2024'!E33</f>
        <v>147058823.52941176</v>
      </c>
    </row>
    <row r="8" spans="4:8">
      <c r="D8" t="s">
        <v>383</v>
      </c>
      <c r="G8" s="111">
        <f>+'base imponible  at 2024'!E50</f>
        <v>1000000</v>
      </c>
    </row>
    <row r="9" spans="4:8">
      <c r="D9" t="s">
        <v>743</v>
      </c>
      <c r="G9" s="111">
        <f>+'base imponible  at 2024'!D58</f>
        <v>11732212.442495923</v>
      </c>
    </row>
    <row r="10" spans="4:8">
      <c r="D10" t="s">
        <v>496</v>
      </c>
      <c r="G10" s="111">
        <f>+'base imponible  at 2024'!D63</f>
        <v>1215000</v>
      </c>
    </row>
    <row r="11" spans="4:8">
      <c r="D11" t="s">
        <v>494</v>
      </c>
      <c r="G11" s="111">
        <f>+'base imponible  at 2024'!E35</f>
        <v>1997568</v>
      </c>
    </row>
    <row r="12" spans="4:8">
      <c r="D12" t="s">
        <v>744</v>
      </c>
      <c r="G12" s="111">
        <f>+'base imponible  at 2024'!D59+'base imponible  at 2024'!D60</f>
        <v>12548191.155000001</v>
      </c>
    </row>
    <row r="13" spans="4:8">
      <c r="D13" t="s">
        <v>796</v>
      </c>
      <c r="G13" s="111">
        <f>+'base imponible  at 2024'!D62</f>
        <v>5135000</v>
      </c>
    </row>
    <row r="14" spans="4:8">
      <c r="D14" t="s">
        <v>192</v>
      </c>
      <c r="G14" s="111">
        <f>+'base imponible  at 2024'!D61</f>
        <v>7740000</v>
      </c>
    </row>
    <row r="15" spans="4:8">
      <c r="D15" t="s">
        <v>745</v>
      </c>
      <c r="G15" s="111">
        <f>+'base imponible  at 2024'!D64</f>
        <v>20854166.666666668</v>
      </c>
    </row>
    <row r="16" spans="4:8">
      <c r="D16" t="s">
        <v>143</v>
      </c>
      <c r="G16" s="111">
        <f>+'base imponible  at 2024'!D57</f>
        <v>250000000</v>
      </c>
      <c r="H16" s="111">
        <f>SUM(G5:G16)</f>
        <v>602614937.05034375</v>
      </c>
    </row>
    <row r="17" spans="4:10">
      <c r="D17" s="9" t="s">
        <v>490</v>
      </c>
      <c r="G17" s="111"/>
    </row>
    <row r="18" spans="4:10">
      <c r="D18" t="s">
        <v>491</v>
      </c>
      <c r="G18" s="111">
        <f>-'base imponible  at 2024'!E6</f>
        <v>-140000000</v>
      </c>
    </row>
    <row r="19" spans="4:10">
      <c r="D19" t="s">
        <v>749</v>
      </c>
      <c r="G19" s="111">
        <f>-'base imponible  at 2024'!F37</f>
        <v>-27800000</v>
      </c>
    </row>
    <row r="20" spans="4:10">
      <c r="D20" t="s">
        <v>746</v>
      </c>
      <c r="G20" s="111">
        <f>-'base imponible  at 2024'!F33</f>
        <v>-367571428.5714286</v>
      </c>
    </row>
    <row r="21" spans="4:10">
      <c r="D21" t="s">
        <v>752</v>
      </c>
      <c r="G21" s="111">
        <f>-'base imponible  at 2024'!F36</f>
        <v>-110000</v>
      </c>
    </row>
    <row r="22" spans="4:10">
      <c r="D22" t="s">
        <v>753</v>
      </c>
      <c r="G22" s="111">
        <f>-'base imponible  at 2024'!I35</f>
        <v>-634800</v>
      </c>
    </row>
    <row r="23" spans="4:10">
      <c r="D23" t="s">
        <v>754</v>
      </c>
      <c r="G23" s="111">
        <f>-'base imponible  at 2024'!I36</f>
        <v>-950499.99999999988</v>
      </c>
    </row>
    <row r="24" spans="4:10">
      <c r="D24" t="s">
        <v>748</v>
      </c>
      <c r="G24" s="111">
        <f>-'base imponible  at 2024'!F52</f>
        <v>-5566872.268907547</v>
      </c>
    </row>
    <row r="25" spans="4:10">
      <c r="D25" t="s">
        <v>747</v>
      </c>
      <c r="G25" s="111">
        <f>-'base imponible  at 2024'!F50</f>
        <v>-35000000</v>
      </c>
    </row>
    <row r="26" spans="4:10">
      <c r="G26" s="111"/>
      <c r="H26" s="111">
        <f>SUM(G18:G26)</f>
        <v>-577633600.84033608</v>
      </c>
    </row>
    <row r="27" spans="4:10">
      <c r="G27" s="111"/>
    </row>
    <row r="28" spans="4:10">
      <c r="D28" t="s">
        <v>750</v>
      </c>
      <c r="G28" s="111"/>
      <c r="H28" s="5">
        <f>SUM(H3:H26)</f>
        <v>158201508.16806722</v>
      </c>
      <c r="J28" s="5"/>
    </row>
    <row r="29" spans="4:10">
      <c r="G29" s="111"/>
      <c r="H29" s="5">
        <f>+H28*10%</f>
        <v>15820150.816806722</v>
      </c>
    </row>
    <row r="30" spans="4:10">
      <c r="G30" s="111"/>
    </row>
    <row r="31" spans="4:10">
      <c r="D31" s="9" t="s">
        <v>188</v>
      </c>
      <c r="G31" s="5"/>
      <c r="H31" s="5">
        <f>+H3</f>
        <v>133220171.95805961</v>
      </c>
    </row>
    <row r="32" spans="4:10">
      <c r="D32" s="9" t="s">
        <v>189</v>
      </c>
    </row>
    <row r="33" spans="4:8">
      <c r="D33" t="s">
        <v>742</v>
      </c>
      <c r="G33" s="111">
        <f>+'base imponible  at 2024'!F34</f>
        <v>0</v>
      </c>
    </row>
    <row r="34" spans="4:8">
      <c r="D34" t="s">
        <v>190</v>
      </c>
      <c r="G34" s="111">
        <f>+G6</f>
        <v>34090277.777777776</v>
      </c>
    </row>
    <row r="35" spans="4:8">
      <c r="D35" t="s">
        <v>751</v>
      </c>
      <c r="G35" s="111">
        <f>+'base imponible  at 2024'!E59</f>
        <v>0</v>
      </c>
    </row>
    <row r="36" spans="4:8">
      <c r="D36" t="s">
        <v>743</v>
      </c>
      <c r="G36" s="111">
        <f>+G9</f>
        <v>11732212.442495923</v>
      </c>
    </row>
    <row r="37" spans="4:8">
      <c r="D37" t="s">
        <v>496</v>
      </c>
      <c r="G37" s="111">
        <f>+'base imponible  at 2024'!D89</f>
        <v>0</v>
      </c>
    </row>
    <row r="38" spans="4:8">
      <c r="D38" t="s">
        <v>494</v>
      </c>
      <c r="G38" s="111">
        <f>+'base imponible  at 2024'!E61</f>
        <v>0</v>
      </c>
    </row>
    <row r="39" spans="4:8">
      <c r="D39" t="s">
        <v>744</v>
      </c>
      <c r="G39" s="111">
        <f>+G12</f>
        <v>12548191.155000001</v>
      </c>
    </row>
    <row r="40" spans="4:8">
      <c r="D40" t="s">
        <v>790</v>
      </c>
      <c r="G40" s="111">
        <f>+G13</f>
        <v>5135000</v>
      </c>
    </row>
    <row r="41" spans="4:8">
      <c r="D41" t="s">
        <v>192</v>
      </c>
      <c r="G41" s="111">
        <f>+G14</f>
        <v>7740000</v>
      </c>
    </row>
    <row r="42" spans="4:8">
      <c r="D42" t="s">
        <v>745</v>
      </c>
      <c r="G42" s="111">
        <f>+G15</f>
        <v>20854166.666666668</v>
      </c>
    </row>
    <row r="43" spans="4:8">
      <c r="D43" t="s">
        <v>143</v>
      </c>
      <c r="G43" s="111">
        <f>+G16</f>
        <v>250000000</v>
      </c>
      <c r="H43" s="111">
        <f>SUM(G33:G43)</f>
        <v>342099848.04194039</v>
      </c>
    </row>
    <row r="44" spans="4:8">
      <c r="D44" s="9" t="s">
        <v>490</v>
      </c>
      <c r="G44" s="111"/>
    </row>
    <row r="45" spans="4:8">
      <c r="D45" t="s">
        <v>491</v>
      </c>
      <c r="G45" s="111">
        <f>-'base imponible  at 2024'!E32</f>
        <v>0</v>
      </c>
    </row>
    <row r="46" spans="4:8">
      <c r="D46" t="s">
        <v>749</v>
      </c>
      <c r="G46" s="111">
        <f>+G19</f>
        <v>-27800000</v>
      </c>
    </row>
    <row r="47" spans="4:8">
      <c r="D47" t="s">
        <v>746</v>
      </c>
      <c r="G47" s="111">
        <f>-'base imponible  at 2024'!I31</f>
        <v>-210084033.6134454</v>
      </c>
    </row>
    <row r="48" spans="4:8">
      <c r="D48" t="s">
        <v>752</v>
      </c>
      <c r="G48" s="111">
        <f>-'base imponible  at 2024'!F63</f>
        <v>0</v>
      </c>
    </row>
    <row r="49" spans="4:8">
      <c r="D49" t="s">
        <v>753</v>
      </c>
      <c r="G49" s="111">
        <f>-'base imponible  at 2024'!I61</f>
        <v>0</v>
      </c>
    </row>
    <row r="50" spans="4:8">
      <c r="D50" t="s">
        <v>754</v>
      </c>
      <c r="G50" s="111">
        <f>-'base imponible  at 2024'!I63</f>
        <v>0</v>
      </c>
    </row>
    <row r="51" spans="4:8">
      <c r="D51" t="s">
        <v>734</v>
      </c>
      <c r="G51" s="111">
        <f>-'base imponible  at 2024'!E77</f>
        <v>0</v>
      </c>
    </row>
    <row r="52" spans="4:8">
      <c r="D52" t="s">
        <v>748</v>
      </c>
      <c r="G52" s="111">
        <f>+G24</f>
        <v>-5566872.268907547</v>
      </c>
    </row>
    <row r="53" spans="4:8">
      <c r="D53" t="s">
        <v>747</v>
      </c>
      <c r="G53" s="111">
        <f>+G25</f>
        <v>-35000000</v>
      </c>
    </row>
    <row r="54" spans="4:8">
      <c r="G54" s="111"/>
      <c r="H54" s="111">
        <f>SUM(G45:G54)</f>
        <v>-278450905.88235295</v>
      </c>
    </row>
    <row r="55" spans="4:8">
      <c r="G55" s="111"/>
    </row>
    <row r="56" spans="4:8">
      <c r="D56" t="s">
        <v>750</v>
      </c>
      <c r="G56" s="111"/>
      <c r="H56" s="5">
        <f>SUM(H31:H54)</f>
        <v>196869114.11764705</v>
      </c>
    </row>
    <row r="57" spans="4:8">
      <c r="H57" s="5">
        <f>+H56*10%</f>
        <v>19686911.411764707</v>
      </c>
    </row>
    <row r="59" spans="4:8">
      <c r="D59" t="s">
        <v>196</v>
      </c>
      <c r="H59" s="5">
        <f>+H57-H29</f>
        <v>3866760.594957985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3" zoomScale="91" zoomScaleNormal="91" workbookViewId="0">
      <selection activeCell="H85" sqref="H85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>
      <c r="A1" s="64"/>
      <c r="B1" s="55"/>
      <c r="C1" s="56" t="s">
        <v>675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final los andes '!G5+'Libro Diario 2023 '!D195+'Libro Diario 2023 '!D113+'Libro Diario 2023 '!D92</f>
        <v>41478639</v>
      </c>
      <c r="D5" s="52">
        <f>+'Libro Diario 2023 '!E87+'Libro Diario 2023 '!E108+'Libro Diario 2023 '!E219</f>
        <v>4797200</v>
      </c>
      <c r="E5" s="52">
        <f>+IF(C5-D5&gt;0,C5-D5,0)</f>
        <v>36681439</v>
      </c>
      <c r="F5" s="52">
        <f>IF((D5-C5)&gt;0,D5-C5,0)</f>
        <v>0</v>
      </c>
      <c r="G5" s="52">
        <f t="shared" ref="G5:H23" si="0">IF(E5&gt;0,E5,0)</f>
        <v>36681439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final los andes '!G6+'Libro Diario 2023 '!D65+'Libro Diario 2023 '!D110+'Libro Diario 2023 '!D123+'Libro Diario 2023 '!D146+'Libro Diario 2023 '!D163+'Libro Diario 2023 '!D210+'Libro Diario 2023 '!D227</f>
        <v>748654800</v>
      </c>
      <c r="D6" s="52">
        <f>+'Libro Diario 2023 '!E51+'Libro Diario 2023 '!E57+'Libro Diario 2023 '!E61+'Libro Diario 2023 '!E74+'Libro Diario 2023 '!E83+'Libro Diario 2023 '!E104+'Libro Diario 2023 '!E118+'Libro Diario 2023 '!E134+'Libro Diario 2023 '!E137+'Libro Diario 2023 '!E161+'Libro Diario 2023 '!E185+'Libro Diario 2023 '!E188+'Libro Diario 2023 '!E193+'Libro Diario 2023 '!E207+'Libro Diario 2023 '!E214+'Libro Diario 2023 '!E225</f>
        <v>662432982</v>
      </c>
      <c r="E6" s="52">
        <f>+IF(C6-D6&gt;0,C6-D6,0)</f>
        <v>86221818</v>
      </c>
      <c r="F6" s="52">
        <f>IF((D6-C6)&gt;0,D6-C6,0)</f>
        <v>0</v>
      </c>
      <c r="G6" s="52">
        <f t="shared" si="0"/>
        <v>86221818</v>
      </c>
      <c r="H6" s="52">
        <f t="shared" si="0"/>
        <v>0</v>
      </c>
      <c r="I6" s="52">
        <v>0</v>
      </c>
      <c r="J6" s="52">
        <v>0</v>
      </c>
    </row>
    <row r="7" spans="1:10">
      <c r="A7" s="65">
        <v>11010</v>
      </c>
      <c r="B7" s="58" t="s">
        <v>242</v>
      </c>
      <c r="C7" s="52">
        <f>+'Libro Diario 2023 '!D133</f>
        <v>30000000</v>
      </c>
      <c r="D7" s="52">
        <f>+'balance 2022 final los andes '!H7</f>
        <v>0</v>
      </c>
      <c r="E7" s="52">
        <f t="shared" ref="E7:E51" si="1">+IF(C7-D7&gt;0,C7-D7,0)</f>
        <v>30000000</v>
      </c>
      <c r="F7" s="52">
        <f t="shared" ref="F7:F51" si="2">IF((D7-C7)&gt;0,D7-C7,0)</f>
        <v>0</v>
      </c>
      <c r="G7" s="52">
        <f t="shared" si="0"/>
        <v>30000000</v>
      </c>
      <c r="H7" s="52">
        <f t="shared" si="0"/>
        <v>0</v>
      </c>
      <c r="I7" s="52">
        <v>0</v>
      </c>
      <c r="J7" s="52">
        <v>0</v>
      </c>
    </row>
    <row r="8" spans="1:10">
      <c r="A8" s="65">
        <v>11011</v>
      </c>
      <c r="B8" s="58" t="s">
        <v>51</v>
      </c>
      <c r="C8" s="52">
        <f>+'balance 2022 final los andes '!G8</f>
        <v>50000000</v>
      </c>
      <c r="D8" s="52">
        <f>+'Libro Diario 2023 '!E147</f>
        <v>50000000</v>
      </c>
      <c r="E8" s="52">
        <f t="shared" si="1"/>
        <v>0</v>
      </c>
      <c r="F8" s="52">
        <f t="shared" si="2"/>
        <v>0</v>
      </c>
      <c r="G8" s="52">
        <f t="shared" si="0"/>
        <v>0</v>
      </c>
      <c r="H8" s="52">
        <f t="shared" si="0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final los andes '!G9+'Libro Diario 2023 '!D64</f>
        <v>559500000</v>
      </c>
      <c r="D9" s="52">
        <f>+'Libro Diario 2023 '!E111+'Libro Diario 2023 '!E211+'Libro Diario 2023 '!E243</f>
        <v>392900000</v>
      </c>
      <c r="E9" s="52">
        <f t="shared" si="1"/>
        <v>166600000</v>
      </c>
      <c r="F9" s="52">
        <f t="shared" si="2"/>
        <v>0</v>
      </c>
      <c r="G9" s="52">
        <f t="shared" si="0"/>
        <v>166600000</v>
      </c>
      <c r="H9" s="52">
        <f t="shared" si="0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+'Libro Diario 2023 '!D242</f>
        <v>7865000</v>
      </c>
      <c r="D10" s="52">
        <f>+'balance 2022 final los andes '!H10+'Libro Diario 2023 '!E176</f>
        <v>15605000</v>
      </c>
      <c r="E10" s="52">
        <f t="shared" si="1"/>
        <v>0</v>
      </c>
      <c r="F10" s="52">
        <f t="shared" si="2"/>
        <v>7740000</v>
      </c>
      <c r="G10" s="52">
        <f t="shared" si="0"/>
        <v>0</v>
      </c>
      <c r="H10" s="52">
        <f t="shared" si="0"/>
        <v>7740000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final los andes '!G11+'Libro Diario 2023 '!D142+'Libro Diario 2023 '!D196</f>
        <v>594508833.6134454</v>
      </c>
      <c r="D11" s="52">
        <f>+'Libro Diario 2023 '!E69+'Libro Diario 2023 '!E168+'Libro Diario 2023 '!E172</f>
        <v>262548191.155</v>
      </c>
      <c r="E11" s="52">
        <f t="shared" si="1"/>
        <v>331960642.45844543</v>
      </c>
      <c r="F11" s="52">
        <f t="shared" si="2"/>
        <v>0</v>
      </c>
      <c r="G11" s="52">
        <f t="shared" si="0"/>
        <v>331960642.45844543</v>
      </c>
      <c r="H11" s="52">
        <f t="shared" si="0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+'Libro Diario 2023 '!D85</f>
        <v>3600000</v>
      </c>
      <c r="D12" s="52">
        <f>+'Libro Diario 2023 '!E90</f>
        <v>2400000</v>
      </c>
      <c r="E12" s="52">
        <f t="shared" si="1"/>
        <v>1200000</v>
      </c>
      <c r="F12" s="52">
        <f t="shared" si="2"/>
        <v>0</v>
      </c>
      <c r="G12" s="52">
        <f t="shared" si="0"/>
        <v>1200000</v>
      </c>
      <c r="H12" s="52">
        <f t="shared" si="0"/>
        <v>0</v>
      </c>
      <c r="I12" s="52">
        <v>0</v>
      </c>
      <c r="J12" s="52">
        <v>0</v>
      </c>
    </row>
    <row r="13" spans="1:10">
      <c r="A13" s="65">
        <v>11072</v>
      </c>
      <c r="B13" s="58" t="s">
        <v>312</v>
      </c>
      <c r="C13" s="52">
        <f>+'Libro Diario 2023 '!D136</f>
        <v>12000000</v>
      </c>
      <c r="D13" s="52">
        <f>+'Libro Diario 2023 '!E140</f>
        <v>4000000</v>
      </c>
      <c r="E13" s="52">
        <f t="shared" si="1"/>
        <v>8000000</v>
      </c>
      <c r="F13" s="52">
        <f t="shared" si="2"/>
        <v>0</v>
      </c>
      <c r="G13" s="52">
        <f t="shared" si="0"/>
        <v>8000000</v>
      </c>
      <c r="H13" s="52">
        <f t="shared" si="0"/>
        <v>0</v>
      </c>
      <c r="I13" s="52">
        <v>0</v>
      </c>
      <c r="J13" s="52">
        <v>0</v>
      </c>
    </row>
    <row r="14" spans="1:10">
      <c r="A14" s="65">
        <v>12001</v>
      </c>
      <c r="B14" s="58" t="s">
        <v>110</v>
      </c>
      <c r="C14" s="52">
        <f>+'balance 2022 final los andes '!G14+'Libro Diario 2023 '!D72+'Libro Diario 2023 '!D198+'Libro Diario 2023 '!D221+'Libro Diario 2023 '!D217+'Libro Diario 2023 '!D235</f>
        <v>17307377</v>
      </c>
      <c r="D14" s="52">
        <f>+'Libro Diario 2023 '!E93</f>
        <v>10036000</v>
      </c>
      <c r="E14" s="52">
        <f t="shared" si="1"/>
        <v>7271377</v>
      </c>
      <c r="F14" s="52">
        <f t="shared" si="2"/>
        <v>0</v>
      </c>
      <c r="G14" s="52">
        <f t="shared" si="0"/>
        <v>7271377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final los andes '!G15+'Libro Diario 2023 '!D50+'Libro Diario 2023 '!D82+'Libro Diario 2023 '!D86+'Libro Diario 2023 '!D103+'Libro Diario 2023 '!D107+'Libro Diario 2023 '!D117+'Libro Diario 2023 '!D143+'Libro Diario 2023 '!D191</f>
        <v>64882916.386554629</v>
      </c>
      <c r="D15" s="52">
        <f>+'Libro Diario 2023 '!E56+'Libro Diario 2023 '!E73+'Libro Diario 2023 '!E218</f>
        <v>16207000</v>
      </c>
      <c r="E15" s="52">
        <f t="shared" si="1"/>
        <v>48675916.386554629</v>
      </c>
      <c r="F15" s="52">
        <f t="shared" si="2"/>
        <v>0</v>
      </c>
      <c r="G15" s="52">
        <f t="shared" si="0"/>
        <v>48675916.386554629</v>
      </c>
      <c r="H15" s="52">
        <f t="shared" si="0"/>
        <v>0</v>
      </c>
      <c r="I15" s="52">
        <v>0</v>
      </c>
      <c r="J15" s="52">
        <v>0</v>
      </c>
    </row>
    <row r="16" spans="1:10" hidden="1">
      <c r="A16" s="65">
        <v>12003</v>
      </c>
      <c r="B16" s="58" t="s">
        <v>114</v>
      </c>
      <c r="C16" s="52">
        <f>+'balance 2022 final los andes '!G16</f>
        <v>0</v>
      </c>
      <c r="D16" s="52">
        <f>+'balance 2022 final los andes '!H16</f>
        <v>0</v>
      </c>
      <c r="E16" s="52">
        <f t="shared" si="1"/>
        <v>0</v>
      </c>
      <c r="F16" s="52">
        <f t="shared" si="2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0">
      <c r="A17" s="65">
        <v>13001</v>
      </c>
      <c r="B17" s="58" t="s">
        <v>50</v>
      </c>
      <c r="C17" s="52">
        <f>+'balance 2022 final los andes '!G17</f>
        <v>16000000</v>
      </c>
      <c r="D17" s="52">
        <f>+'Libro Diario 2023 '!E206</f>
        <v>16000000</v>
      </c>
      <c r="E17" s="52">
        <f t="shared" si="1"/>
        <v>0</v>
      </c>
      <c r="F17" s="52">
        <f t="shared" si="2"/>
        <v>0</v>
      </c>
      <c r="G17" s="52">
        <f t="shared" si="0"/>
        <v>0</v>
      </c>
      <c r="H17" s="52">
        <f t="shared" si="0"/>
        <v>0</v>
      </c>
      <c r="I17" s="52">
        <v>0</v>
      </c>
      <c r="J17" s="52">
        <v>0</v>
      </c>
    </row>
    <row r="18" spans="1:10">
      <c r="A18" s="65">
        <v>13002</v>
      </c>
      <c r="B18" s="58" t="str">
        <f>+'Libro Diario 2023 '!B199</f>
        <v>ACCIONES SOCIEDAD RRR SPA</v>
      </c>
      <c r="C18" s="52">
        <f>+'Libro Diario 2023 '!D199</f>
        <v>12825000</v>
      </c>
      <c r="D18" s="52">
        <f>+'balance 2022 final los andes '!H18</f>
        <v>0</v>
      </c>
      <c r="E18" s="52">
        <f t="shared" si="1"/>
        <v>12825000</v>
      </c>
      <c r="F18" s="52">
        <f t="shared" si="2"/>
        <v>0</v>
      </c>
      <c r="G18" s="52">
        <f t="shared" si="0"/>
        <v>12825000</v>
      </c>
      <c r="H18" s="52">
        <f t="shared" si="0"/>
        <v>0</v>
      </c>
      <c r="I18" s="52">
        <v>0</v>
      </c>
      <c r="J18" s="52">
        <v>0</v>
      </c>
    </row>
    <row r="19" spans="1:10">
      <c r="A19" s="65" t="s">
        <v>54</v>
      </c>
      <c r="B19" s="58" t="s">
        <v>55</v>
      </c>
      <c r="C19" s="52">
        <f>+'balance 2022 final los andes '!G19</f>
        <v>317260000</v>
      </c>
      <c r="D19" s="52">
        <f>+'balance 2022 final los andes '!H19</f>
        <v>0</v>
      </c>
      <c r="E19" s="52">
        <f t="shared" si="1"/>
        <v>317260000</v>
      </c>
      <c r="F19" s="52">
        <f t="shared" si="2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</row>
    <row r="20" spans="1:10">
      <c r="A20" s="65" t="s">
        <v>56</v>
      </c>
      <c r="B20" s="58" t="s">
        <v>57</v>
      </c>
      <c r="C20" s="52">
        <f>+'balance 2022 final los andes '!G20</f>
        <v>50000000</v>
      </c>
      <c r="D20" s="52">
        <f>+'balance 2022 final los andes '!H20</f>
        <v>0</v>
      </c>
      <c r="E20" s="52">
        <f t="shared" si="1"/>
        <v>50000000</v>
      </c>
      <c r="F20" s="52">
        <f t="shared" si="2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0">
      <c r="A21" s="65">
        <v>15010</v>
      </c>
      <c r="B21" s="58" t="s">
        <v>104</v>
      </c>
      <c r="C21" s="52">
        <f>+'balance 2022 final los andes '!G21</f>
        <v>0</v>
      </c>
      <c r="D21" s="52">
        <f>+'balance 2022 final los andes '!H21</f>
        <v>0</v>
      </c>
      <c r="E21" s="52">
        <f t="shared" si="1"/>
        <v>0</v>
      </c>
      <c r="F21" s="52">
        <f t="shared" si="2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0">
      <c r="A22" s="65">
        <v>15015</v>
      </c>
      <c r="B22" s="58" t="s">
        <v>58</v>
      </c>
      <c r="C22" s="52">
        <f>+'balance 2022 final los andes '!G22</f>
        <v>7000000</v>
      </c>
      <c r="D22" s="52">
        <f>+'balance 2022 final los andes '!H22</f>
        <v>0</v>
      </c>
      <c r="E22" s="52">
        <f t="shared" si="1"/>
        <v>7000000</v>
      </c>
      <c r="F22" s="52">
        <f t="shared" si="2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0">
      <c r="A23" s="65">
        <v>15020</v>
      </c>
      <c r="B23" s="58" t="s">
        <v>15</v>
      </c>
      <c r="C23" s="52">
        <f>+'Libro Diario 2023 '!D49</f>
        <v>5800000</v>
      </c>
      <c r="D23" s="52">
        <f>+'balance 2022 final los andes '!H23</f>
        <v>0</v>
      </c>
      <c r="E23" s="52">
        <f t="shared" si="1"/>
        <v>5800000</v>
      </c>
      <c r="F23" s="52">
        <f t="shared" si="2"/>
        <v>0</v>
      </c>
      <c r="G23" s="52">
        <f t="shared" si="0"/>
        <v>5800000</v>
      </c>
      <c r="H23" s="52">
        <f t="shared" si="0"/>
        <v>0</v>
      </c>
      <c r="I23" s="52">
        <v>0</v>
      </c>
      <c r="J23" s="52">
        <v>0</v>
      </c>
    </row>
    <row r="24" spans="1:10">
      <c r="A24" s="65">
        <v>15031</v>
      </c>
      <c r="B24" s="58" t="s">
        <v>88</v>
      </c>
      <c r="C24" s="52">
        <f>+'Libro Diario 2023 '!D197+'Libro Diario 2023 '!D102</f>
        <v>36033614</v>
      </c>
      <c r="D24" s="52">
        <f>+'Libro Diario 2023 '!E130</f>
        <v>22000000</v>
      </c>
      <c r="E24" s="52">
        <f t="shared" si="1"/>
        <v>14033614</v>
      </c>
      <c r="F24" s="52">
        <f t="shared" si="2"/>
        <v>0</v>
      </c>
      <c r="G24" s="52">
        <f t="shared" ref="G24:H44" si="3">IF(E24&gt;0,E24,0)</f>
        <v>14033614</v>
      </c>
      <c r="H24" s="52">
        <f t="shared" si="3"/>
        <v>0</v>
      </c>
      <c r="I24" s="52">
        <v>0</v>
      </c>
      <c r="J24" s="52">
        <v>0</v>
      </c>
    </row>
    <row r="25" spans="1:10">
      <c r="A25" s="65">
        <v>15101</v>
      </c>
      <c r="B25" s="58" t="s">
        <v>310</v>
      </c>
      <c r="C25" s="52">
        <f>+'Libro Diario 2023 '!D77</f>
        <v>100000000</v>
      </c>
      <c r="D25" s="52">
        <f>+'balance 2022 final los andes '!H25</f>
        <v>0</v>
      </c>
      <c r="E25" s="52">
        <f t="shared" si="1"/>
        <v>100000000</v>
      </c>
      <c r="F25" s="52">
        <f t="shared" si="2"/>
        <v>0</v>
      </c>
      <c r="G25" s="52">
        <f t="shared" si="3"/>
        <v>100000000</v>
      </c>
      <c r="H25" s="52">
        <f t="shared" si="3"/>
        <v>0</v>
      </c>
      <c r="I25" s="52">
        <v>0</v>
      </c>
      <c r="J25" s="52">
        <v>0</v>
      </c>
    </row>
    <row r="26" spans="1:10" hidden="1">
      <c r="A26" s="65">
        <v>15102</v>
      </c>
      <c r="B26" s="58" t="s">
        <v>106</v>
      </c>
      <c r="C26" s="52">
        <f>+'balance 2022 final los andes '!G26</f>
        <v>0</v>
      </c>
      <c r="D26" s="52">
        <f>+'balance 2022 final los andes '!H26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>
        <v>0</v>
      </c>
      <c r="J26" s="52">
        <v>0</v>
      </c>
    </row>
    <row r="27" spans="1:10">
      <c r="A27" s="67">
        <v>15410</v>
      </c>
      <c r="B27" s="58" t="s">
        <v>59</v>
      </c>
      <c r="C27" s="52">
        <f>+'Libro Diario 2023 '!D128</f>
        <v>1145833.3333333333</v>
      </c>
      <c r="D27" s="52">
        <f>+'balance 2022 final los andes '!H27+'Libro Diario 2023 '!E121+'Libro Diario 2023 '!E201+'Libro Diario 2023 '!E232</f>
        <v>13014093.666666666</v>
      </c>
      <c r="E27" s="52">
        <f t="shared" si="1"/>
        <v>0</v>
      </c>
      <c r="F27" s="52">
        <f t="shared" si="2"/>
        <v>11868260.333333332</v>
      </c>
      <c r="G27" s="52">
        <f t="shared" si="3"/>
        <v>0</v>
      </c>
      <c r="H27" s="52">
        <f t="shared" si="3"/>
        <v>11868260.333333332</v>
      </c>
      <c r="I27" s="52">
        <v>0</v>
      </c>
      <c r="J27" s="52">
        <v>0</v>
      </c>
    </row>
    <row r="28" spans="1:10">
      <c r="A28" s="67">
        <v>15420</v>
      </c>
      <c r="B28" s="58" t="s">
        <v>91</v>
      </c>
      <c r="C28" s="52">
        <f>+'balance 2022 final los andes '!G28</f>
        <v>0</v>
      </c>
      <c r="D28" s="52">
        <f>+'Libro Diario 2023 '!E233</f>
        <v>27777777.77777778</v>
      </c>
      <c r="E28" s="52">
        <f t="shared" si="1"/>
        <v>0</v>
      </c>
      <c r="F28" s="52">
        <f t="shared" si="2"/>
        <v>27777777.77777778</v>
      </c>
      <c r="G28" s="52">
        <f t="shared" si="3"/>
        <v>0</v>
      </c>
      <c r="H28" s="52">
        <f t="shared" si="3"/>
        <v>27777777.77777778</v>
      </c>
      <c r="I28" s="52">
        <v>0</v>
      </c>
      <c r="J28" s="52">
        <v>0</v>
      </c>
    </row>
    <row r="29" spans="1:10">
      <c r="A29" s="67">
        <v>18101</v>
      </c>
      <c r="B29" s="58" t="s">
        <v>87</v>
      </c>
      <c r="C29" s="52">
        <f>+'Libro Diario 2023 '!D200</f>
        <v>24896397</v>
      </c>
      <c r="D29" s="52">
        <f>+'balance 2022 final los andes '!H29</f>
        <v>0</v>
      </c>
      <c r="E29" s="52">
        <f t="shared" si="1"/>
        <v>24896397</v>
      </c>
      <c r="F29" s="52">
        <f t="shared" si="2"/>
        <v>0</v>
      </c>
      <c r="G29" s="52">
        <f t="shared" si="3"/>
        <v>24896397</v>
      </c>
      <c r="H29" s="52">
        <f t="shared" si="3"/>
        <v>0</v>
      </c>
      <c r="I29" s="52">
        <v>0</v>
      </c>
      <c r="J29" s="52">
        <v>0</v>
      </c>
    </row>
    <row r="30" spans="1:10">
      <c r="A30" s="67">
        <v>20001</v>
      </c>
      <c r="B30" s="58" t="s">
        <v>98</v>
      </c>
      <c r="C30" s="52">
        <f>+'Libro Diario 2023 '!D183</f>
        <v>21400000</v>
      </c>
      <c r="D30" s="52">
        <f>+'balance 2022 final los andes '!H30+'Libro Diario 2023 '!E205</f>
        <v>76211956</v>
      </c>
      <c r="E30" s="52">
        <f t="shared" si="1"/>
        <v>0</v>
      </c>
      <c r="F30" s="52">
        <f t="shared" si="2"/>
        <v>54811956</v>
      </c>
      <c r="G30" s="52">
        <f t="shared" si="3"/>
        <v>0</v>
      </c>
      <c r="H30" s="52">
        <f t="shared" si="3"/>
        <v>54811956</v>
      </c>
      <c r="I30" s="52">
        <v>0</v>
      </c>
      <c r="J30" s="52">
        <v>0</v>
      </c>
    </row>
    <row r="31" spans="1:10">
      <c r="A31" s="67">
        <v>20021</v>
      </c>
      <c r="B31" s="58" t="s">
        <v>99</v>
      </c>
      <c r="C31" s="52">
        <f>+'Libro Diario 2023 '!D80</f>
        <v>23267787.557504077</v>
      </c>
      <c r="D31" s="52">
        <f>+'Libro Diario 2023 '!E78</f>
        <v>100000000</v>
      </c>
      <c r="E31" s="52">
        <f t="shared" si="1"/>
        <v>0</v>
      </c>
      <c r="F31" s="52">
        <f t="shared" si="2"/>
        <v>76732212.442495927</v>
      </c>
      <c r="G31" s="52">
        <f t="shared" si="3"/>
        <v>0</v>
      </c>
      <c r="H31" s="52">
        <f t="shared" si="3"/>
        <v>76732212.442495927</v>
      </c>
      <c r="I31" s="52">
        <v>0</v>
      </c>
      <c r="J31" s="52">
        <v>0</v>
      </c>
    </row>
    <row r="32" spans="1:10">
      <c r="A32" s="67">
        <v>20151</v>
      </c>
      <c r="B32" s="58" t="s">
        <v>60</v>
      </c>
      <c r="C32" s="52">
        <f>+'Libro Diario 2023 '!D71+'Libro Diario 2023 '!D53+'Libro Diario 2023 '!D216</f>
        <v>114608000</v>
      </c>
      <c r="D32" s="52">
        <f>+'balance 2022 final los andes '!H32+'Libro Diario 2023 '!E67+'Libro Diario 2023 '!E125+'Libro Diario 2023 '!E165+'Libro Diario 2023 '!E203</f>
        <v>114925694</v>
      </c>
      <c r="E32" s="52">
        <f t="shared" si="1"/>
        <v>0</v>
      </c>
      <c r="F32" s="52">
        <f t="shared" si="2"/>
        <v>317694</v>
      </c>
      <c r="G32" s="52">
        <f t="shared" si="3"/>
        <v>0</v>
      </c>
      <c r="H32" s="52">
        <f t="shared" si="3"/>
        <v>317694</v>
      </c>
      <c r="I32" s="52">
        <v>0</v>
      </c>
      <c r="J32" s="52">
        <v>0</v>
      </c>
    </row>
    <row r="33" spans="1:10">
      <c r="A33" s="65" t="s">
        <v>61</v>
      </c>
      <c r="B33" s="58" t="s">
        <v>6</v>
      </c>
      <c r="C33" s="52">
        <f>+'Libro Diario 2023 '!D187+'Libro Diario 2023 '!D213</f>
        <v>262410000</v>
      </c>
      <c r="D33" s="52">
        <f>+'balance 2022 final los andes '!H33+'Libro Diario 2023 '!E144+'Libro Diario 2023 '!E192+'Libro Diario 2023 '!E202</f>
        <v>457016974</v>
      </c>
      <c r="E33" s="52">
        <f t="shared" si="1"/>
        <v>0</v>
      </c>
      <c r="F33" s="52">
        <f t="shared" si="2"/>
        <v>194606974</v>
      </c>
      <c r="G33" s="52">
        <f t="shared" si="3"/>
        <v>0</v>
      </c>
      <c r="H33" s="52">
        <f t="shared" si="3"/>
        <v>194606974</v>
      </c>
      <c r="I33" s="52">
        <v>0</v>
      </c>
      <c r="J33" s="52">
        <v>0</v>
      </c>
    </row>
    <row r="34" spans="1:10">
      <c r="A34" s="65">
        <v>21002</v>
      </c>
      <c r="B34" s="58" t="s">
        <v>62</v>
      </c>
      <c r="C34" s="52">
        <f>+'balance 2022 final los andes '!G34</f>
        <v>0</v>
      </c>
      <c r="D34" s="52">
        <f>+'balance 2022 final los andes '!H34</f>
        <v>15478000</v>
      </c>
      <c r="E34" s="52">
        <f t="shared" si="1"/>
        <v>0</v>
      </c>
      <c r="F34" s="52">
        <f t="shared" si="2"/>
        <v>15478000</v>
      </c>
      <c r="G34" s="52">
        <f t="shared" si="3"/>
        <v>0</v>
      </c>
      <c r="H34" s="52">
        <f t="shared" si="3"/>
        <v>15478000</v>
      </c>
      <c r="I34" s="52">
        <v>0</v>
      </c>
      <c r="J34" s="52">
        <v>0</v>
      </c>
    </row>
    <row r="35" spans="1:10">
      <c r="A35" s="65">
        <v>22001</v>
      </c>
      <c r="B35" s="58" t="s">
        <v>115</v>
      </c>
      <c r="C35" s="52">
        <f>+'Libro Diario 2023 '!D159</f>
        <v>28090800</v>
      </c>
      <c r="D35" s="52">
        <f>+'Libro Diario 2023 '!E153</f>
        <v>28090800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0">
      <c r="A36" s="65">
        <v>22002</v>
      </c>
      <c r="B36" s="58" t="s">
        <v>108</v>
      </c>
      <c r="C36" s="52">
        <f>+'Libro Diario 2023 '!D160+'Libro Diario 2023 '!D60</f>
        <v>6960432</v>
      </c>
      <c r="D36" s="52">
        <f>+'balance 2022 final los andes '!H36+'Libro Diario 2023 '!E152</f>
        <v>8958000</v>
      </c>
      <c r="E36" s="52">
        <f t="shared" si="1"/>
        <v>0</v>
      </c>
      <c r="F36" s="52">
        <f t="shared" si="2"/>
        <v>1997568</v>
      </c>
      <c r="G36" s="52">
        <f t="shared" si="3"/>
        <v>0</v>
      </c>
      <c r="H36" s="52">
        <f t="shared" si="3"/>
        <v>1997568</v>
      </c>
      <c r="I36" s="52">
        <v>0</v>
      </c>
      <c r="J36" s="52">
        <v>0</v>
      </c>
    </row>
    <row r="37" spans="1:10">
      <c r="A37" s="65">
        <v>22051</v>
      </c>
      <c r="B37" s="58" t="s">
        <v>65</v>
      </c>
      <c r="C37" s="52">
        <f>+'Libro Diario 2023 '!D55</f>
        <v>110000</v>
      </c>
      <c r="D37" s="52">
        <f>+'balance 2022 final los andes '!H37</f>
        <v>110000</v>
      </c>
      <c r="E37" s="52">
        <f t="shared" si="1"/>
        <v>0</v>
      </c>
      <c r="F37" s="52">
        <f t="shared" si="2"/>
        <v>0</v>
      </c>
      <c r="G37" s="52">
        <f t="shared" si="3"/>
        <v>0</v>
      </c>
      <c r="H37" s="52">
        <f t="shared" si="3"/>
        <v>0</v>
      </c>
      <c r="I37" s="52">
        <v>0</v>
      </c>
      <c r="J37" s="52">
        <v>0</v>
      </c>
    </row>
    <row r="38" spans="1:10">
      <c r="A38" s="66">
        <v>22070</v>
      </c>
      <c r="B38" s="58" t="s">
        <v>282</v>
      </c>
      <c r="C38" s="52">
        <f>+'Libro Diario 2023 '!D99+'Libro Diario 2023 '!D224</f>
        <v>125000000</v>
      </c>
      <c r="D38" s="52">
        <f>+'Libro Diario 2023 '!E97</f>
        <v>171950049.99999997</v>
      </c>
      <c r="E38" s="52">
        <f t="shared" si="1"/>
        <v>0</v>
      </c>
      <c r="F38" s="52">
        <f t="shared" si="2"/>
        <v>46950049.99999997</v>
      </c>
      <c r="G38" s="52">
        <f t="shared" si="3"/>
        <v>0</v>
      </c>
      <c r="H38" s="52">
        <f t="shared" si="3"/>
        <v>46950049.99999997</v>
      </c>
      <c r="I38" s="52">
        <v>0</v>
      </c>
      <c r="J38" s="52">
        <v>0</v>
      </c>
    </row>
    <row r="39" spans="1:10">
      <c r="A39" s="66">
        <v>23001</v>
      </c>
      <c r="B39" s="58" t="s">
        <v>95</v>
      </c>
      <c r="C39" s="52">
        <f>+'balance 2022 final los andes '!G39</f>
        <v>0</v>
      </c>
      <c r="D39" s="52">
        <f>+'Libro Diario 2023 '!E164</f>
        <v>1000000</v>
      </c>
      <c r="E39" s="52">
        <f t="shared" si="1"/>
        <v>0</v>
      </c>
      <c r="F39" s="52">
        <f t="shared" si="2"/>
        <v>1000000</v>
      </c>
      <c r="G39" s="52">
        <f t="shared" si="3"/>
        <v>0</v>
      </c>
      <c r="H39" s="52">
        <f t="shared" si="3"/>
        <v>1000000</v>
      </c>
      <c r="I39" s="52">
        <v>0</v>
      </c>
      <c r="J39" s="52">
        <v>0</v>
      </c>
    </row>
    <row r="40" spans="1:10">
      <c r="A40" s="67">
        <v>24001</v>
      </c>
      <c r="B40" s="58" t="s">
        <v>66</v>
      </c>
      <c r="C40" s="52">
        <f>+'balance 2022 final los andes '!G40</f>
        <v>0</v>
      </c>
      <c r="D40" s="52">
        <f>+'Libro Diario 2023 '!E247</f>
        <v>15820150.816806722</v>
      </c>
      <c r="E40" s="52">
        <f t="shared" si="1"/>
        <v>0</v>
      </c>
      <c r="F40" s="52">
        <f t="shared" si="2"/>
        <v>15820150.816806722</v>
      </c>
      <c r="G40" s="52">
        <f t="shared" si="3"/>
        <v>0</v>
      </c>
      <c r="H40" s="52">
        <f t="shared" si="3"/>
        <v>15820150.816806722</v>
      </c>
      <c r="I40" s="52">
        <v>0</v>
      </c>
      <c r="J40" s="52">
        <v>0</v>
      </c>
    </row>
    <row r="41" spans="1:10">
      <c r="A41" s="66">
        <v>24002</v>
      </c>
      <c r="B41" s="58" t="s">
        <v>103</v>
      </c>
      <c r="C41" s="52">
        <f>+'balance 2022 final los andes '!G41</f>
        <v>0</v>
      </c>
      <c r="D41" s="52">
        <f>+'Libro Diario 2023 '!E181</f>
        <v>790000</v>
      </c>
      <c r="E41" s="52">
        <f t="shared" si="1"/>
        <v>0</v>
      </c>
      <c r="F41" s="52">
        <f t="shared" si="2"/>
        <v>790000</v>
      </c>
      <c r="G41" s="52">
        <f t="shared" si="3"/>
        <v>0</v>
      </c>
      <c r="H41" s="52">
        <f t="shared" si="3"/>
        <v>790000</v>
      </c>
      <c r="I41" s="52">
        <v>0</v>
      </c>
      <c r="J41" s="52">
        <v>0</v>
      </c>
    </row>
    <row r="42" spans="1:10">
      <c r="A42" s="66">
        <v>24010</v>
      </c>
      <c r="B42" s="58" t="s">
        <v>111</v>
      </c>
      <c r="C42" s="52">
        <f>+'Libro Diario 2023 '!D54</f>
        <v>2556000</v>
      </c>
      <c r="D42" s="52">
        <f>+'balance 2022 final los andes '!H42+'Libro Diario 2023 '!E204+'Libro Diario 2023 '!E222</f>
        <v>2759756</v>
      </c>
      <c r="E42" s="52">
        <f t="shared" si="1"/>
        <v>0</v>
      </c>
      <c r="F42" s="52">
        <f t="shared" si="2"/>
        <v>203756</v>
      </c>
      <c r="G42" s="52">
        <f t="shared" si="3"/>
        <v>0</v>
      </c>
      <c r="H42" s="52">
        <f t="shared" si="3"/>
        <v>203756</v>
      </c>
      <c r="I42" s="52">
        <v>0</v>
      </c>
      <c r="J42" s="52">
        <v>0</v>
      </c>
    </row>
    <row r="43" spans="1:10">
      <c r="A43" s="65">
        <v>24015</v>
      </c>
      <c r="B43" s="58" t="s">
        <v>64</v>
      </c>
      <c r="C43" s="52">
        <f>+'Libro Diario 2023 '!D156</f>
        <v>950499.99999999988</v>
      </c>
      <c r="D43" s="52">
        <f>+'balance 2022 final los andes '!H43+'Libro Diario 2023 '!E239</f>
        <v>2165500</v>
      </c>
      <c r="E43" s="52">
        <f t="shared" si="1"/>
        <v>0</v>
      </c>
      <c r="F43" s="52">
        <f t="shared" si="2"/>
        <v>1215000</v>
      </c>
      <c r="G43" s="52">
        <f t="shared" si="3"/>
        <v>0</v>
      </c>
      <c r="H43" s="52">
        <f t="shared" si="3"/>
        <v>1215000</v>
      </c>
      <c r="I43" s="52">
        <v>0</v>
      </c>
      <c r="J43" s="52">
        <v>0</v>
      </c>
    </row>
    <row r="44" spans="1:10">
      <c r="A44" s="66">
        <v>25001</v>
      </c>
      <c r="B44" s="58" t="s">
        <v>96</v>
      </c>
      <c r="C44" s="52">
        <f>+'balance 2022 final los andes '!G44</f>
        <v>0</v>
      </c>
      <c r="D44" s="52">
        <f>+'balance 2022 final los andes '!H44+'Libro Diario 2023 '!E246</f>
        <v>3866760.594957985</v>
      </c>
      <c r="E44" s="52">
        <f t="shared" si="1"/>
        <v>0</v>
      </c>
      <c r="F44" s="52">
        <f t="shared" si="2"/>
        <v>3866760.594957985</v>
      </c>
      <c r="G44" s="52">
        <f t="shared" si="3"/>
        <v>0</v>
      </c>
      <c r="H44" s="52">
        <f t="shared" si="3"/>
        <v>3866760.594957985</v>
      </c>
      <c r="I44" s="52">
        <v>0</v>
      </c>
      <c r="J44" s="52">
        <v>0</v>
      </c>
    </row>
    <row r="45" spans="1:10">
      <c r="A45" s="65">
        <v>33001</v>
      </c>
      <c r="B45" s="58" t="s">
        <v>78</v>
      </c>
      <c r="C45" s="52">
        <f>+'balance 2022 final los andes '!G45</f>
        <v>0</v>
      </c>
      <c r="D45" s="52">
        <f>+'balance 2022 final los andes '!H45</f>
        <v>200000000</v>
      </c>
      <c r="E45" s="52">
        <f t="shared" si="1"/>
        <v>0</v>
      </c>
      <c r="F45" s="52">
        <f t="shared" si="2"/>
        <v>200000000</v>
      </c>
      <c r="G45" s="52">
        <f t="shared" ref="G45:H51" si="4">IF(E45&gt;0,E45,0)</f>
        <v>0</v>
      </c>
      <c r="H45" s="52">
        <f t="shared" si="4"/>
        <v>200000000</v>
      </c>
      <c r="I45" s="52">
        <v>0</v>
      </c>
      <c r="J45" s="52">
        <v>0</v>
      </c>
    </row>
    <row r="46" spans="1:10">
      <c r="A46" s="65">
        <v>33002</v>
      </c>
      <c r="B46" s="58" t="s">
        <v>79</v>
      </c>
      <c r="C46" s="52">
        <f>+'balance 2022 final los andes '!G46</f>
        <v>40000000</v>
      </c>
      <c r="D46" s="52">
        <f>+'balance 2022 final los andes '!H46</f>
        <v>0</v>
      </c>
      <c r="E46" s="52">
        <f t="shared" si="1"/>
        <v>40000000</v>
      </c>
      <c r="F46" s="52">
        <f t="shared" si="2"/>
        <v>0</v>
      </c>
      <c r="G46" s="52">
        <f t="shared" si="4"/>
        <v>40000000</v>
      </c>
      <c r="H46" s="52">
        <f t="shared" si="4"/>
        <v>0</v>
      </c>
      <c r="I46" s="52">
        <v>0</v>
      </c>
      <c r="J46" s="52">
        <v>0</v>
      </c>
    </row>
    <row r="47" spans="1:10">
      <c r="A47" s="65">
        <v>33003</v>
      </c>
      <c r="B47" s="58" t="s">
        <v>80</v>
      </c>
      <c r="C47" s="52">
        <f>+'balance 2022 final los andes '!G47</f>
        <v>60000000</v>
      </c>
      <c r="D47" s="52">
        <f>+'Libro Diario 2023 '!E228</f>
        <v>60000000</v>
      </c>
      <c r="E47" s="52">
        <f t="shared" si="1"/>
        <v>0</v>
      </c>
      <c r="F47" s="52">
        <f t="shared" si="2"/>
        <v>0</v>
      </c>
      <c r="G47" s="52">
        <f t="shared" si="4"/>
        <v>0</v>
      </c>
      <c r="H47" s="52">
        <f t="shared" si="4"/>
        <v>0</v>
      </c>
      <c r="I47" s="52">
        <v>0</v>
      </c>
      <c r="J47" s="52">
        <v>0</v>
      </c>
    </row>
    <row r="48" spans="1:10">
      <c r="A48" s="65">
        <v>33011</v>
      </c>
      <c r="B48" s="58" t="s">
        <v>67</v>
      </c>
      <c r="C48" s="52">
        <f>+'balance 2022 final los andes '!G48</f>
        <v>0</v>
      </c>
      <c r="D48" s="52">
        <f>+'balance 2022 final los andes '!H48</f>
        <v>112500000</v>
      </c>
      <c r="E48" s="52">
        <f t="shared" si="1"/>
        <v>0</v>
      </c>
      <c r="F48" s="52">
        <f t="shared" si="2"/>
        <v>112500000</v>
      </c>
      <c r="G48" s="52">
        <f t="shared" si="4"/>
        <v>0</v>
      </c>
      <c r="H48" s="52">
        <f t="shared" si="4"/>
        <v>112500000</v>
      </c>
      <c r="I48" s="52">
        <v>0</v>
      </c>
      <c r="J48" s="52">
        <v>0</v>
      </c>
    </row>
    <row r="49" spans="1:10">
      <c r="A49" s="67">
        <v>34001</v>
      </c>
      <c r="B49" s="58" t="s">
        <v>82</v>
      </c>
      <c r="C49" s="52">
        <f>+'balance 2022 final los andes '!G49</f>
        <v>25000000</v>
      </c>
      <c r="D49" s="52">
        <f>+'Libro Diario 2023 '!E100</f>
        <v>25000000</v>
      </c>
      <c r="E49" s="52">
        <f t="shared" si="1"/>
        <v>0</v>
      </c>
      <c r="F49" s="52">
        <f t="shared" si="2"/>
        <v>0</v>
      </c>
      <c r="G49" s="52">
        <f t="shared" si="4"/>
        <v>0</v>
      </c>
      <c r="H49" s="52">
        <f t="shared" si="4"/>
        <v>0</v>
      </c>
      <c r="I49" s="52">
        <v>0</v>
      </c>
      <c r="J49" s="52">
        <v>0</v>
      </c>
    </row>
    <row r="50" spans="1:10">
      <c r="A50" s="67">
        <v>35001</v>
      </c>
      <c r="B50" s="58" t="s">
        <v>237</v>
      </c>
      <c r="C50" s="52">
        <f>+'Libro Diario 2023 '!D45</f>
        <v>573166833.33333325</v>
      </c>
      <c r="D50" s="52">
        <f>+'balance 2022 final los andes '!H76</f>
        <v>573166833.33333337</v>
      </c>
      <c r="E50" s="52">
        <f t="shared" si="1"/>
        <v>0</v>
      </c>
      <c r="F50" s="52">
        <f t="shared" si="2"/>
        <v>1.1920928955078125E-7</v>
      </c>
      <c r="G50" s="52">
        <f t="shared" si="4"/>
        <v>0</v>
      </c>
      <c r="H50" s="52">
        <f t="shared" si="4"/>
        <v>1.1920928955078125E-7</v>
      </c>
      <c r="I50" s="52">
        <v>0</v>
      </c>
      <c r="J50" s="52">
        <v>0</v>
      </c>
    </row>
    <row r="51" spans="1:10">
      <c r="A51" s="67">
        <v>36001</v>
      </c>
      <c r="B51" s="58" t="s">
        <v>212</v>
      </c>
      <c r="C51" s="52">
        <f>+'Libro Diario 2023 '!D96</f>
        <v>171950049.99999997</v>
      </c>
      <c r="D51" s="52">
        <f>+'Libro Diario 2023 '!E46</f>
        <v>573166833.33333325</v>
      </c>
      <c r="E51" s="52">
        <f t="shared" si="1"/>
        <v>0</v>
      </c>
      <c r="F51" s="52">
        <f t="shared" si="2"/>
        <v>401216783.33333325</v>
      </c>
      <c r="G51" s="52">
        <f t="shared" si="4"/>
        <v>0</v>
      </c>
      <c r="H51" s="52">
        <f t="shared" si="4"/>
        <v>401216783.33333325</v>
      </c>
      <c r="I51" s="52">
        <v>0</v>
      </c>
      <c r="J51" s="52">
        <v>0</v>
      </c>
    </row>
    <row r="52" spans="1:10">
      <c r="A52" s="67">
        <v>41001</v>
      </c>
      <c r="B52" s="58" t="s">
        <v>101</v>
      </c>
      <c r="C52" s="52">
        <f>+'Libro Diario 2023 '!D68</f>
        <v>250000000</v>
      </c>
      <c r="D52" s="52"/>
      <c r="E52" s="52">
        <f t="shared" ref="E52:E80" si="5">IF(C52&gt;D52,(C52-D52),0)</f>
        <v>250000000</v>
      </c>
      <c r="F52" s="52">
        <f t="shared" ref="F52:F80" si="6">IF(D52&gt;C52,D52-C52,0)</f>
        <v>0</v>
      </c>
      <c r="G52" s="52"/>
      <c r="H52" s="52"/>
      <c r="I52" s="52">
        <f t="shared" ref="I52:I80" si="7">IF(E52&gt;F52,E52,0)</f>
        <v>250000000</v>
      </c>
      <c r="J52" s="52">
        <v>0</v>
      </c>
    </row>
    <row r="53" spans="1:10">
      <c r="A53" s="67">
        <v>42001</v>
      </c>
      <c r="B53" s="58" t="s">
        <v>68</v>
      </c>
      <c r="C53" s="52">
        <f>+'Libro Diario 2023 '!D150</f>
        <v>34680000</v>
      </c>
      <c r="D53" s="52">
        <f>+'Libro Diario 2023 '!E157</f>
        <v>950499.99999999988</v>
      </c>
      <c r="E53" s="52">
        <f t="shared" si="5"/>
        <v>33729500</v>
      </c>
      <c r="F53" s="52">
        <f t="shared" si="6"/>
        <v>0</v>
      </c>
      <c r="G53" s="52"/>
      <c r="H53" s="52"/>
      <c r="I53" s="52">
        <f t="shared" si="7"/>
        <v>33729500</v>
      </c>
      <c r="J53" s="52">
        <f t="shared" ref="J53:J80" si="8">IF(F53&gt;E53,F53,0)</f>
        <v>0</v>
      </c>
    </row>
    <row r="54" spans="1:10">
      <c r="A54" s="67">
        <v>42002</v>
      </c>
      <c r="B54" s="58" t="s">
        <v>83</v>
      </c>
      <c r="C54" s="52">
        <f>+'Libro Diario 2023 '!D151</f>
        <v>1734000</v>
      </c>
      <c r="D54" s="52"/>
      <c r="E54" s="52">
        <f t="shared" si="5"/>
        <v>1734000</v>
      </c>
      <c r="F54" s="52">
        <f t="shared" si="6"/>
        <v>0</v>
      </c>
      <c r="G54" s="52"/>
      <c r="H54" s="52"/>
      <c r="I54" s="52">
        <f t="shared" si="7"/>
        <v>1734000</v>
      </c>
      <c r="J54" s="52">
        <f t="shared" si="8"/>
        <v>0</v>
      </c>
    </row>
    <row r="55" spans="1:10">
      <c r="A55" s="67">
        <v>42011</v>
      </c>
      <c r="B55" s="58" t="s">
        <v>182</v>
      </c>
      <c r="C55" s="52">
        <f>+'Libro Diario 2023 '!D238</f>
        <v>1215000</v>
      </c>
      <c r="D55" s="52"/>
      <c r="E55" s="52">
        <f t="shared" si="5"/>
        <v>1215000</v>
      </c>
      <c r="F55" s="52">
        <f t="shared" si="6"/>
        <v>0</v>
      </c>
      <c r="G55" s="52"/>
      <c r="H55" s="52"/>
      <c r="I55" s="52">
        <f t="shared" si="7"/>
        <v>1215000</v>
      </c>
      <c r="J55" s="52">
        <f t="shared" si="8"/>
        <v>0</v>
      </c>
    </row>
    <row r="56" spans="1:10" hidden="1">
      <c r="A56" s="67">
        <v>42051</v>
      </c>
      <c r="B56" s="58" t="s">
        <v>69</v>
      </c>
      <c r="C56" s="52"/>
      <c r="D56" s="52"/>
      <c r="E56" s="52">
        <f t="shared" si="5"/>
        <v>0</v>
      </c>
      <c r="F56" s="52">
        <f t="shared" si="6"/>
        <v>0</v>
      </c>
      <c r="G56" s="52"/>
      <c r="H56" s="52"/>
      <c r="I56" s="52">
        <f t="shared" si="7"/>
        <v>0</v>
      </c>
      <c r="J56" s="52">
        <f t="shared" si="8"/>
        <v>0</v>
      </c>
    </row>
    <row r="57" spans="1:10">
      <c r="A57" s="67">
        <v>43001</v>
      </c>
      <c r="B57" s="58" t="s">
        <v>102</v>
      </c>
      <c r="C57" s="52">
        <f>+'Libro Diario 2023 '!D180</f>
        <v>790000</v>
      </c>
      <c r="D57" s="52"/>
      <c r="E57" s="52">
        <f t="shared" si="5"/>
        <v>790000</v>
      </c>
      <c r="F57" s="52">
        <f t="shared" si="6"/>
        <v>0</v>
      </c>
      <c r="G57" s="52"/>
      <c r="H57" s="52"/>
      <c r="I57" s="52">
        <f t="shared" si="7"/>
        <v>790000</v>
      </c>
      <c r="J57" s="52">
        <f t="shared" si="8"/>
        <v>0</v>
      </c>
    </row>
    <row r="58" spans="1:10">
      <c r="A58" s="67">
        <v>43002</v>
      </c>
      <c r="B58" s="58" t="s">
        <v>254</v>
      </c>
      <c r="C58" s="52">
        <f>+'Libro Diario 2023 '!D106</f>
        <v>280000</v>
      </c>
      <c r="D58" s="52"/>
      <c r="E58" s="52">
        <f t="shared" si="5"/>
        <v>280000</v>
      </c>
      <c r="F58" s="52">
        <f t="shared" si="6"/>
        <v>0</v>
      </c>
      <c r="G58" s="52"/>
      <c r="H58" s="52"/>
      <c r="I58" s="52">
        <f t="shared" si="7"/>
        <v>280000</v>
      </c>
      <c r="J58" s="52">
        <f t="shared" si="8"/>
        <v>0</v>
      </c>
    </row>
    <row r="59" spans="1:10">
      <c r="A59" s="67">
        <v>43003</v>
      </c>
      <c r="B59" s="58" t="s">
        <v>313</v>
      </c>
      <c r="C59" s="52">
        <f>+'Libro Diario 2023 '!D190</f>
        <v>2000000</v>
      </c>
      <c r="D59" s="52"/>
      <c r="E59" s="52">
        <f t="shared" si="5"/>
        <v>2000000</v>
      </c>
      <c r="F59" s="52">
        <f t="shared" si="6"/>
        <v>0</v>
      </c>
      <c r="G59" s="52"/>
      <c r="H59" s="52"/>
      <c r="I59" s="52">
        <f t="shared" si="7"/>
        <v>2000000</v>
      </c>
      <c r="J59" s="52">
        <f t="shared" si="8"/>
        <v>0</v>
      </c>
    </row>
    <row r="60" spans="1:10" hidden="1">
      <c r="A60" s="67" t="s">
        <v>70</v>
      </c>
      <c r="B60" s="58" t="s">
        <v>71</v>
      </c>
      <c r="C60" s="52"/>
      <c r="D60" s="52"/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</row>
    <row r="61" spans="1:10">
      <c r="A61" s="67" t="s">
        <v>72</v>
      </c>
      <c r="B61" s="58" t="s">
        <v>73</v>
      </c>
      <c r="C61" s="52">
        <f>+'Libro Diario 2023 '!D245</f>
        <v>19686911.411764707</v>
      </c>
      <c r="D61" s="52"/>
      <c r="E61" s="52">
        <f t="shared" si="5"/>
        <v>19686911.411764707</v>
      </c>
      <c r="F61" s="52">
        <f t="shared" si="6"/>
        <v>0</v>
      </c>
      <c r="G61" s="52"/>
      <c r="H61" s="52"/>
      <c r="I61" s="52">
        <f t="shared" si="7"/>
        <v>19686911.411764707</v>
      </c>
      <c r="J61" s="52">
        <f t="shared" si="8"/>
        <v>0</v>
      </c>
    </row>
    <row r="62" spans="1:10" hidden="1">
      <c r="A62" s="67">
        <v>45101</v>
      </c>
      <c r="B62" s="58" t="s">
        <v>74</v>
      </c>
      <c r="C62" s="52"/>
      <c r="D62" s="52"/>
      <c r="E62" s="52">
        <f t="shared" si="5"/>
        <v>0</v>
      </c>
      <c r="F62" s="52">
        <f t="shared" si="6"/>
        <v>0</v>
      </c>
      <c r="G62" s="52"/>
      <c r="H62" s="52"/>
      <c r="I62" s="52">
        <f t="shared" si="7"/>
        <v>0</v>
      </c>
      <c r="J62" s="52">
        <f t="shared" si="8"/>
        <v>0</v>
      </c>
    </row>
    <row r="63" spans="1:10" hidden="1">
      <c r="A63" s="67">
        <v>46001</v>
      </c>
      <c r="B63" s="58" t="s">
        <v>193</v>
      </c>
      <c r="C63" s="52"/>
      <c r="D63" s="52"/>
      <c r="E63" s="52">
        <f t="shared" si="5"/>
        <v>0</v>
      </c>
      <c r="F63" s="52">
        <f t="shared" si="6"/>
        <v>0</v>
      </c>
      <c r="G63" s="52"/>
      <c r="H63" s="52"/>
      <c r="I63" s="52">
        <f t="shared" si="7"/>
        <v>0</v>
      </c>
      <c r="J63" s="52">
        <f t="shared" si="8"/>
        <v>0</v>
      </c>
    </row>
    <row r="64" spans="1:10">
      <c r="A64" s="67">
        <v>47141</v>
      </c>
      <c r="B64" s="58" t="s">
        <v>85</v>
      </c>
      <c r="C64" s="52">
        <f>+'Libro Diario 2023 '!D175</f>
        <v>7740000</v>
      </c>
      <c r="D64" s="52"/>
      <c r="E64" s="52">
        <f t="shared" si="5"/>
        <v>7740000</v>
      </c>
      <c r="F64" s="52">
        <f t="shared" si="6"/>
        <v>0</v>
      </c>
      <c r="G64" s="52"/>
      <c r="H64" s="52"/>
      <c r="I64" s="52">
        <f t="shared" si="7"/>
        <v>7740000</v>
      </c>
      <c r="J64" s="52">
        <f t="shared" si="8"/>
        <v>0</v>
      </c>
    </row>
    <row r="65" spans="1:10">
      <c r="A65" s="67">
        <v>47142</v>
      </c>
      <c r="B65" s="58" t="s">
        <v>687</v>
      </c>
      <c r="C65" s="52">
        <f>+'Libro Diario 2023 '!D241</f>
        <v>5135000</v>
      </c>
      <c r="D65" s="52"/>
      <c r="E65" s="52">
        <f t="shared" si="5"/>
        <v>5135000</v>
      </c>
      <c r="F65" s="52">
        <f t="shared" si="6"/>
        <v>0</v>
      </c>
      <c r="G65" s="52"/>
      <c r="H65" s="52"/>
      <c r="I65" s="52">
        <f t="shared" si="7"/>
        <v>5135000</v>
      </c>
      <c r="J65" s="52">
        <f t="shared" si="8"/>
        <v>0</v>
      </c>
    </row>
    <row r="66" spans="1:10">
      <c r="A66" s="67">
        <v>47151</v>
      </c>
      <c r="B66" s="58" t="s">
        <v>89</v>
      </c>
      <c r="C66" s="52">
        <f>+'Libro Diario 2023 '!D167</f>
        <v>11698191.155000001</v>
      </c>
      <c r="D66" s="52"/>
      <c r="E66" s="52">
        <f t="shared" si="5"/>
        <v>11698191.155000001</v>
      </c>
      <c r="F66" s="52">
        <f t="shared" si="6"/>
        <v>0</v>
      </c>
      <c r="G66" s="52"/>
      <c r="H66" s="52"/>
      <c r="I66" s="52">
        <f t="shared" si="7"/>
        <v>11698191.155000001</v>
      </c>
      <c r="J66" s="52">
        <f t="shared" si="8"/>
        <v>0</v>
      </c>
    </row>
    <row r="67" spans="1:10">
      <c r="A67" s="67">
        <v>47152</v>
      </c>
      <c r="B67" s="58" t="s">
        <v>21</v>
      </c>
      <c r="C67" s="52">
        <f>+'Libro Diario 2023 '!D171</f>
        <v>850000</v>
      </c>
      <c r="D67" s="52"/>
      <c r="E67" s="52">
        <f t="shared" si="5"/>
        <v>850000</v>
      </c>
      <c r="F67" s="52">
        <f t="shared" si="6"/>
        <v>0</v>
      </c>
      <c r="G67" s="52"/>
      <c r="H67" s="52"/>
      <c r="I67" s="52">
        <f t="shared" si="7"/>
        <v>850000</v>
      </c>
      <c r="J67" s="52">
        <f t="shared" si="8"/>
        <v>0</v>
      </c>
    </row>
    <row r="68" spans="1:10">
      <c r="A68" s="67">
        <v>48001</v>
      </c>
      <c r="B68" s="58" t="s">
        <v>90</v>
      </c>
      <c r="C68" s="52">
        <f>+'Libro Diario 2023 '!D139</f>
        <v>4000000</v>
      </c>
      <c r="D68" s="52"/>
      <c r="E68" s="52">
        <f t="shared" si="5"/>
        <v>4000000</v>
      </c>
      <c r="F68" s="52">
        <f t="shared" si="6"/>
        <v>0</v>
      </c>
      <c r="G68" s="52"/>
      <c r="H68" s="52"/>
      <c r="I68" s="52">
        <f t="shared" si="7"/>
        <v>4000000</v>
      </c>
      <c r="J68" s="52">
        <f t="shared" si="8"/>
        <v>0</v>
      </c>
    </row>
    <row r="69" spans="1:10">
      <c r="A69" s="67">
        <v>48101</v>
      </c>
      <c r="B69" s="58" t="s">
        <v>100</v>
      </c>
      <c r="C69" s="52">
        <f>+'Libro Diario 2023 '!D116+'Libro Diario 2023 '!D89</f>
        <v>4150000</v>
      </c>
      <c r="D69" s="52"/>
      <c r="E69" s="52">
        <f t="shared" si="5"/>
        <v>4150000</v>
      </c>
      <c r="F69" s="52">
        <f t="shared" si="6"/>
        <v>0</v>
      </c>
      <c r="G69" s="52"/>
      <c r="H69" s="52"/>
      <c r="I69" s="52">
        <f t="shared" si="7"/>
        <v>4150000</v>
      </c>
      <c r="J69" s="52">
        <f t="shared" si="8"/>
        <v>0</v>
      </c>
    </row>
    <row r="70" spans="1:10">
      <c r="A70" s="67">
        <v>48150</v>
      </c>
      <c r="B70" s="58" t="s">
        <v>94</v>
      </c>
      <c r="C70" s="52">
        <f>+'Libro Diario 2023 '!D81</f>
        <v>11732212.442495923</v>
      </c>
      <c r="D70" s="52"/>
      <c r="E70" s="52">
        <f t="shared" si="5"/>
        <v>11732212.442495923</v>
      </c>
      <c r="F70" s="52">
        <f t="shared" si="6"/>
        <v>0</v>
      </c>
      <c r="G70" s="52"/>
      <c r="H70" s="52"/>
      <c r="I70" s="52">
        <f t="shared" si="7"/>
        <v>11732212.442495923</v>
      </c>
      <c r="J70" s="52">
        <f t="shared" si="8"/>
        <v>0</v>
      </c>
    </row>
    <row r="71" spans="1:10">
      <c r="A71" s="67">
        <v>48151</v>
      </c>
      <c r="B71" s="58" t="s">
        <v>300</v>
      </c>
      <c r="C71" s="52">
        <f>+'Libro Diario 2023 '!D184</f>
        <v>5600000</v>
      </c>
      <c r="D71" s="52"/>
      <c r="E71" s="52">
        <f t="shared" si="5"/>
        <v>5600000</v>
      </c>
      <c r="F71" s="52">
        <f t="shared" si="6"/>
        <v>0</v>
      </c>
      <c r="G71" s="52"/>
      <c r="H71" s="52"/>
      <c r="I71" s="52">
        <f t="shared" si="7"/>
        <v>5600000</v>
      </c>
      <c r="J71" s="52">
        <f t="shared" si="8"/>
        <v>0</v>
      </c>
    </row>
    <row r="72" spans="1:10">
      <c r="A72" s="67">
        <v>49001</v>
      </c>
      <c r="B72" s="58" t="s">
        <v>92</v>
      </c>
      <c r="C72" s="52">
        <f>+'Libro Diario 2023 '!D120+'Libro Diario 2023 '!D230</f>
        <v>6312500</v>
      </c>
      <c r="D72" s="52"/>
      <c r="E72" s="52">
        <f t="shared" si="5"/>
        <v>6312500</v>
      </c>
      <c r="F72" s="52">
        <f t="shared" si="6"/>
        <v>0</v>
      </c>
      <c r="G72" s="52"/>
      <c r="H72" s="52"/>
      <c r="I72" s="52">
        <f t="shared" si="7"/>
        <v>6312500</v>
      </c>
      <c r="J72" s="52">
        <f t="shared" si="8"/>
        <v>0</v>
      </c>
    </row>
    <row r="73" spans="1:10">
      <c r="A73" s="67">
        <v>49101</v>
      </c>
      <c r="B73" s="58" t="s">
        <v>93</v>
      </c>
      <c r="C73" s="52">
        <f>+'Libro Diario 2023 '!D231</f>
        <v>27777777.77777778</v>
      </c>
      <c r="D73" s="52"/>
      <c r="E73" s="52">
        <f t="shared" si="5"/>
        <v>27777777.77777778</v>
      </c>
      <c r="F73" s="52">
        <f t="shared" si="6"/>
        <v>0</v>
      </c>
      <c r="G73" s="52"/>
      <c r="H73" s="52"/>
      <c r="I73" s="52">
        <f t="shared" si="7"/>
        <v>27777777.77777778</v>
      </c>
      <c r="J73" s="52">
        <f t="shared" si="8"/>
        <v>0</v>
      </c>
    </row>
    <row r="74" spans="1:10">
      <c r="A74" s="67">
        <v>49120</v>
      </c>
      <c r="B74" s="58" t="s">
        <v>97</v>
      </c>
      <c r="C74" s="52">
        <f>+'Libro Diario 2023 '!D129</f>
        <v>20854166.666666668</v>
      </c>
      <c r="D74" s="52"/>
      <c r="E74" s="52">
        <f t="shared" si="5"/>
        <v>20854166.666666668</v>
      </c>
      <c r="F74" s="52">
        <f t="shared" si="6"/>
        <v>0</v>
      </c>
      <c r="G74" s="52"/>
      <c r="H74" s="52"/>
      <c r="I74" s="52">
        <f t="shared" si="7"/>
        <v>20854166.666666668</v>
      </c>
      <c r="J74" s="52">
        <f t="shared" si="8"/>
        <v>0</v>
      </c>
    </row>
    <row r="75" spans="1:10">
      <c r="A75" s="67">
        <v>50001</v>
      </c>
      <c r="B75" s="58" t="s">
        <v>75</v>
      </c>
      <c r="C75" s="52"/>
      <c r="D75" s="52"/>
      <c r="E75" s="52">
        <f t="shared" si="5"/>
        <v>0</v>
      </c>
      <c r="F75" s="52">
        <f t="shared" si="6"/>
        <v>0</v>
      </c>
      <c r="G75" s="52"/>
      <c r="H75" s="52"/>
      <c r="I75" s="52">
        <f t="shared" si="7"/>
        <v>0</v>
      </c>
      <c r="J75" s="52">
        <f t="shared" si="8"/>
        <v>0</v>
      </c>
    </row>
    <row r="76" spans="1:10">
      <c r="A76" s="67">
        <v>50002</v>
      </c>
      <c r="B76" s="58" t="s">
        <v>20</v>
      </c>
      <c r="C76" s="52"/>
      <c r="D76" s="52">
        <f>+'Libro Diario 2023 '!E148</f>
        <v>5200000</v>
      </c>
      <c r="E76" s="52">
        <f t="shared" si="5"/>
        <v>0</v>
      </c>
      <c r="F76" s="52">
        <f t="shared" si="6"/>
        <v>5200000</v>
      </c>
      <c r="G76" s="52"/>
      <c r="H76" s="52"/>
      <c r="I76" s="52">
        <f t="shared" si="7"/>
        <v>0</v>
      </c>
      <c r="J76" s="52">
        <f t="shared" si="8"/>
        <v>5200000</v>
      </c>
    </row>
    <row r="77" spans="1:10">
      <c r="A77" s="67">
        <v>50003</v>
      </c>
      <c r="B77" s="58" t="s">
        <v>410</v>
      </c>
      <c r="C77" s="52"/>
      <c r="D77" s="52">
        <f>+'Libro Diario 2023 '!E124</f>
        <v>18000000</v>
      </c>
      <c r="E77" s="52">
        <f t="shared" si="5"/>
        <v>0</v>
      </c>
      <c r="F77" s="52">
        <f t="shared" si="6"/>
        <v>18000000</v>
      </c>
      <c r="G77" s="52"/>
      <c r="H77" s="52"/>
      <c r="I77" s="52">
        <f t="shared" si="7"/>
        <v>0</v>
      </c>
      <c r="J77" s="52">
        <f t="shared" si="8"/>
        <v>18000000</v>
      </c>
    </row>
    <row r="78" spans="1:10">
      <c r="A78" s="67">
        <v>50051</v>
      </c>
      <c r="B78" s="58" t="s">
        <v>84</v>
      </c>
      <c r="C78" s="52"/>
      <c r="D78" s="52">
        <f>+'Libro Diario 2023 '!E94+'Libro Diario 2023 '!E236</f>
        <v>618520</v>
      </c>
      <c r="E78" s="52">
        <f t="shared" si="5"/>
        <v>0</v>
      </c>
      <c r="F78" s="52">
        <f t="shared" si="6"/>
        <v>618520</v>
      </c>
      <c r="G78" s="52"/>
      <c r="H78" s="52"/>
      <c r="I78" s="52">
        <f t="shared" si="7"/>
        <v>0</v>
      </c>
      <c r="J78" s="52">
        <f t="shared" si="8"/>
        <v>618520</v>
      </c>
    </row>
    <row r="79" spans="1:10">
      <c r="A79" s="156">
        <v>51001</v>
      </c>
      <c r="B79" s="157" t="s">
        <v>76</v>
      </c>
      <c r="C79" s="52"/>
      <c r="D79" s="52">
        <f>+'Libro Diario 2023 '!E66</f>
        <v>500000000</v>
      </c>
      <c r="E79" s="52">
        <f t="shared" si="5"/>
        <v>0</v>
      </c>
      <c r="F79" s="52">
        <f t="shared" si="6"/>
        <v>500000000</v>
      </c>
      <c r="G79" s="52"/>
      <c r="H79" s="52"/>
      <c r="I79" s="52">
        <f t="shared" si="7"/>
        <v>0</v>
      </c>
      <c r="J79" s="52">
        <f t="shared" si="8"/>
        <v>500000000</v>
      </c>
    </row>
    <row r="80" spans="1:10" ht="15.75" thickBot="1">
      <c r="A80" s="156">
        <v>51051</v>
      </c>
      <c r="B80" s="157" t="s">
        <v>311</v>
      </c>
      <c r="C80" s="52"/>
      <c r="D80" s="52">
        <f>+'Libro Diario 2023 '!E114</f>
        <v>5000000</v>
      </c>
      <c r="E80" s="52">
        <f t="shared" si="5"/>
        <v>0</v>
      </c>
      <c r="F80" s="52">
        <f t="shared" si="6"/>
        <v>5000000</v>
      </c>
      <c r="G80" s="52"/>
      <c r="H80" s="52"/>
      <c r="I80" s="52">
        <f t="shared" si="7"/>
        <v>0</v>
      </c>
      <c r="J80" s="52">
        <f t="shared" si="8"/>
        <v>5000000</v>
      </c>
    </row>
    <row r="81" spans="1:10" ht="15.75">
      <c r="A81" s="158"/>
      <c r="B81" s="159" t="s">
        <v>240</v>
      </c>
      <c r="C81" s="579">
        <f t="shared" ref="C81:J81" si="9">SUM(C5:C80)</f>
        <v>4572464572.6778765</v>
      </c>
      <c r="D81" s="579">
        <f t="shared" si="9"/>
        <v>4572464572.6778755</v>
      </c>
      <c r="E81" s="579">
        <f t="shared" si="9"/>
        <v>1703711463.2987049</v>
      </c>
      <c r="F81" s="579">
        <f t="shared" si="9"/>
        <v>1703711463.2987051</v>
      </c>
      <c r="G81" s="579">
        <f t="shared" si="9"/>
        <v>1288426203.845</v>
      </c>
      <c r="H81" s="579">
        <f t="shared" si="9"/>
        <v>1174892943.2987051</v>
      </c>
      <c r="I81" s="579">
        <f t="shared" si="9"/>
        <v>415285259.45370513</v>
      </c>
      <c r="J81" s="580">
        <f t="shared" si="9"/>
        <v>528818520</v>
      </c>
    </row>
    <row r="82" spans="1:10" ht="15.75">
      <c r="A82" s="67"/>
      <c r="B82" s="62" t="s">
        <v>241</v>
      </c>
      <c r="C82" s="61"/>
      <c r="D82" s="61"/>
      <c r="E82" s="61"/>
      <c r="F82" s="61"/>
      <c r="G82" s="61"/>
      <c r="H82" s="61">
        <f>+G81-H81</f>
        <v>113533260.54629493</v>
      </c>
      <c r="I82" s="61">
        <f>+J81-I81</f>
        <v>113533260.54629487</v>
      </c>
      <c r="J82" s="160"/>
    </row>
    <row r="83" spans="1:10" ht="16.5" thickBot="1">
      <c r="A83" s="161"/>
      <c r="B83" s="162" t="s">
        <v>0</v>
      </c>
      <c r="C83" s="163">
        <f>+C81+C82</f>
        <v>4572464572.6778765</v>
      </c>
      <c r="D83" s="163">
        <f t="shared" ref="D83:J83" si="10">+D81+D82</f>
        <v>4572464572.6778755</v>
      </c>
      <c r="E83" s="163">
        <f t="shared" si="10"/>
        <v>1703711463.2987049</v>
      </c>
      <c r="F83" s="163">
        <f t="shared" si="10"/>
        <v>1703711463.2987051</v>
      </c>
      <c r="G83" s="163">
        <f t="shared" si="10"/>
        <v>1288426203.845</v>
      </c>
      <c r="H83" s="163">
        <f t="shared" si="10"/>
        <v>1288426203.845</v>
      </c>
      <c r="I83" s="163">
        <f t="shared" si="10"/>
        <v>528818520</v>
      </c>
      <c r="J83" s="164">
        <f t="shared" si="10"/>
        <v>528818520</v>
      </c>
    </row>
    <row r="84" spans="1:10">
      <c r="D84" s="5">
        <f>+C83-D83</f>
        <v>0</v>
      </c>
      <c r="E84" s="5"/>
      <c r="F84" s="5"/>
      <c r="H84" s="5"/>
      <c r="I84" s="5"/>
    </row>
    <row r="85" spans="1:10">
      <c r="H85" s="5"/>
    </row>
  </sheetData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I51"/>
  <sheetViews>
    <sheetView tabSelected="1" topLeftCell="A4" workbookViewId="0">
      <selection activeCell="J23" sqref="J23"/>
    </sheetView>
  </sheetViews>
  <sheetFormatPr baseColWidth="10" defaultRowHeight="15"/>
  <cols>
    <col min="1" max="4" width="11.42578125" style="215"/>
    <col min="5" max="5" width="78.5703125" style="215" customWidth="1"/>
    <col min="6" max="6" width="19.140625" style="215" customWidth="1"/>
    <col min="7" max="7" width="11.42578125" style="215"/>
    <col min="8" max="8" width="12.7109375" style="215" bestFit="1" customWidth="1"/>
    <col min="9" max="9" width="11.85546875" style="215" bestFit="1" customWidth="1"/>
    <col min="10" max="252" width="11.42578125" style="215"/>
    <col min="253" max="253" width="1.42578125" style="215" customWidth="1"/>
    <col min="254" max="254" width="121" style="215" customWidth="1"/>
    <col min="255" max="257" width="11.85546875" style="215" bestFit="1" customWidth="1"/>
    <col min="258" max="508" width="11.42578125" style="215"/>
    <col min="509" max="509" width="1.42578125" style="215" customWidth="1"/>
    <col min="510" max="510" width="121" style="215" customWidth="1"/>
    <col min="511" max="513" width="11.85546875" style="215" bestFit="1" customWidth="1"/>
    <col min="514" max="764" width="11.42578125" style="215"/>
    <col min="765" max="765" width="1.42578125" style="215" customWidth="1"/>
    <col min="766" max="766" width="121" style="215" customWidth="1"/>
    <col min="767" max="769" width="11.85546875" style="215" bestFit="1" customWidth="1"/>
    <col min="770" max="1020" width="11.42578125" style="215"/>
    <col min="1021" max="1021" width="1.42578125" style="215" customWidth="1"/>
    <col min="1022" max="1022" width="121" style="215" customWidth="1"/>
    <col min="1023" max="1025" width="11.85546875" style="215" bestFit="1" customWidth="1"/>
    <col min="1026" max="1276" width="11.42578125" style="215"/>
    <col min="1277" max="1277" width="1.42578125" style="215" customWidth="1"/>
    <col min="1278" max="1278" width="121" style="215" customWidth="1"/>
    <col min="1279" max="1281" width="11.85546875" style="215" bestFit="1" customWidth="1"/>
    <col min="1282" max="1532" width="11.42578125" style="215"/>
    <col min="1533" max="1533" width="1.42578125" style="215" customWidth="1"/>
    <col min="1534" max="1534" width="121" style="215" customWidth="1"/>
    <col min="1535" max="1537" width="11.85546875" style="215" bestFit="1" customWidth="1"/>
    <col min="1538" max="1788" width="11.42578125" style="215"/>
    <col min="1789" max="1789" width="1.42578125" style="215" customWidth="1"/>
    <col min="1790" max="1790" width="121" style="215" customWidth="1"/>
    <col min="1791" max="1793" width="11.85546875" style="215" bestFit="1" customWidth="1"/>
    <col min="1794" max="2044" width="11.42578125" style="215"/>
    <col min="2045" max="2045" width="1.42578125" style="215" customWidth="1"/>
    <col min="2046" max="2046" width="121" style="215" customWidth="1"/>
    <col min="2047" max="2049" width="11.85546875" style="215" bestFit="1" customWidth="1"/>
    <col min="2050" max="2300" width="11.42578125" style="215"/>
    <col min="2301" max="2301" width="1.42578125" style="215" customWidth="1"/>
    <col min="2302" max="2302" width="121" style="215" customWidth="1"/>
    <col min="2303" max="2305" width="11.85546875" style="215" bestFit="1" customWidth="1"/>
    <col min="2306" max="2556" width="11.42578125" style="215"/>
    <col min="2557" max="2557" width="1.42578125" style="215" customWidth="1"/>
    <col min="2558" max="2558" width="121" style="215" customWidth="1"/>
    <col min="2559" max="2561" width="11.85546875" style="215" bestFit="1" customWidth="1"/>
    <col min="2562" max="2812" width="11.42578125" style="215"/>
    <col min="2813" max="2813" width="1.42578125" style="215" customWidth="1"/>
    <col min="2814" max="2814" width="121" style="215" customWidth="1"/>
    <col min="2815" max="2817" width="11.85546875" style="215" bestFit="1" customWidth="1"/>
    <col min="2818" max="3068" width="11.42578125" style="215"/>
    <col min="3069" max="3069" width="1.42578125" style="215" customWidth="1"/>
    <col min="3070" max="3070" width="121" style="215" customWidth="1"/>
    <col min="3071" max="3073" width="11.85546875" style="215" bestFit="1" customWidth="1"/>
    <col min="3074" max="3324" width="11.42578125" style="215"/>
    <col min="3325" max="3325" width="1.42578125" style="215" customWidth="1"/>
    <col min="3326" max="3326" width="121" style="215" customWidth="1"/>
    <col min="3327" max="3329" width="11.85546875" style="215" bestFit="1" customWidth="1"/>
    <col min="3330" max="3580" width="11.42578125" style="215"/>
    <col min="3581" max="3581" width="1.42578125" style="215" customWidth="1"/>
    <col min="3582" max="3582" width="121" style="215" customWidth="1"/>
    <col min="3583" max="3585" width="11.85546875" style="215" bestFit="1" customWidth="1"/>
    <col min="3586" max="3836" width="11.42578125" style="215"/>
    <col min="3837" max="3837" width="1.42578125" style="215" customWidth="1"/>
    <col min="3838" max="3838" width="121" style="215" customWidth="1"/>
    <col min="3839" max="3841" width="11.85546875" style="215" bestFit="1" customWidth="1"/>
    <col min="3842" max="4092" width="11.42578125" style="215"/>
    <col min="4093" max="4093" width="1.42578125" style="215" customWidth="1"/>
    <col min="4094" max="4094" width="121" style="215" customWidth="1"/>
    <col min="4095" max="4097" width="11.85546875" style="215" bestFit="1" customWidth="1"/>
    <col min="4098" max="4348" width="11.42578125" style="215"/>
    <col min="4349" max="4349" width="1.42578125" style="215" customWidth="1"/>
    <col min="4350" max="4350" width="121" style="215" customWidth="1"/>
    <col min="4351" max="4353" width="11.85546875" style="215" bestFit="1" customWidth="1"/>
    <col min="4354" max="4604" width="11.42578125" style="215"/>
    <col min="4605" max="4605" width="1.42578125" style="215" customWidth="1"/>
    <col min="4606" max="4606" width="121" style="215" customWidth="1"/>
    <col min="4607" max="4609" width="11.85546875" style="215" bestFit="1" customWidth="1"/>
    <col min="4610" max="4860" width="11.42578125" style="215"/>
    <col min="4861" max="4861" width="1.42578125" style="215" customWidth="1"/>
    <col min="4862" max="4862" width="121" style="215" customWidth="1"/>
    <col min="4863" max="4865" width="11.85546875" style="215" bestFit="1" customWidth="1"/>
    <col min="4866" max="5116" width="11.42578125" style="215"/>
    <col min="5117" max="5117" width="1.42578125" style="215" customWidth="1"/>
    <col min="5118" max="5118" width="121" style="215" customWidth="1"/>
    <col min="5119" max="5121" width="11.85546875" style="215" bestFit="1" customWidth="1"/>
    <col min="5122" max="5372" width="11.42578125" style="215"/>
    <col min="5373" max="5373" width="1.42578125" style="215" customWidth="1"/>
    <col min="5374" max="5374" width="121" style="215" customWidth="1"/>
    <col min="5375" max="5377" width="11.85546875" style="215" bestFit="1" customWidth="1"/>
    <col min="5378" max="5628" width="11.42578125" style="215"/>
    <col min="5629" max="5629" width="1.42578125" style="215" customWidth="1"/>
    <col min="5630" max="5630" width="121" style="215" customWidth="1"/>
    <col min="5631" max="5633" width="11.85546875" style="215" bestFit="1" customWidth="1"/>
    <col min="5634" max="5884" width="11.42578125" style="215"/>
    <col min="5885" max="5885" width="1.42578125" style="215" customWidth="1"/>
    <col min="5886" max="5886" width="121" style="215" customWidth="1"/>
    <col min="5887" max="5889" width="11.85546875" style="215" bestFit="1" customWidth="1"/>
    <col min="5890" max="6140" width="11.42578125" style="215"/>
    <col min="6141" max="6141" width="1.42578125" style="215" customWidth="1"/>
    <col min="6142" max="6142" width="121" style="215" customWidth="1"/>
    <col min="6143" max="6145" width="11.85546875" style="215" bestFit="1" customWidth="1"/>
    <col min="6146" max="6396" width="11.42578125" style="215"/>
    <col min="6397" max="6397" width="1.42578125" style="215" customWidth="1"/>
    <col min="6398" max="6398" width="121" style="215" customWidth="1"/>
    <col min="6399" max="6401" width="11.85546875" style="215" bestFit="1" customWidth="1"/>
    <col min="6402" max="6652" width="11.42578125" style="215"/>
    <col min="6653" max="6653" width="1.42578125" style="215" customWidth="1"/>
    <col min="6654" max="6654" width="121" style="215" customWidth="1"/>
    <col min="6655" max="6657" width="11.85546875" style="215" bestFit="1" customWidth="1"/>
    <col min="6658" max="6908" width="11.42578125" style="215"/>
    <col min="6909" max="6909" width="1.42578125" style="215" customWidth="1"/>
    <col min="6910" max="6910" width="121" style="215" customWidth="1"/>
    <col min="6911" max="6913" width="11.85546875" style="215" bestFit="1" customWidth="1"/>
    <col min="6914" max="7164" width="11.42578125" style="215"/>
    <col min="7165" max="7165" width="1.42578125" style="215" customWidth="1"/>
    <col min="7166" max="7166" width="121" style="215" customWidth="1"/>
    <col min="7167" max="7169" width="11.85546875" style="215" bestFit="1" customWidth="1"/>
    <col min="7170" max="7420" width="11.42578125" style="215"/>
    <col min="7421" max="7421" width="1.42578125" style="215" customWidth="1"/>
    <col min="7422" max="7422" width="121" style="215" customWidth="1"/>
    <col min="7423" max="7425" width="11.85546875" style="215" bestFit="1" customWidth="1"/>
    <col min="7426" max="7676" width="11.42578125" style="215"/>
    <col min="7677" max="7677" width="1.42578125" style="215" customWidth="1"/>
    <col min="7678" max="7678" width="121" style="215" customWidth="1"/>
    <col min="7679" max="7681" width="11.85546875" style="215" bestFit="1" customWidth="1"/>
    <col min="7682" max="7932" width="11.42578125" style="215"/>
    <col min="7933" max="7933" width="1.42578125" style="215" customWidth="1"/>
    <col min="7934" max="7934" width="121" style="215" customWidth="1"/>
    <col min="7935" max="7937" width="11.85546875" style="215" bestFit="1" customWidth="1"/>
    <col min="7938" max="8188" width="11.42578125" style="215"/>
    <col min="8189" max="8189" width="1.42578125" style="215" customWidth="1"/>
    <col min="8190" max="8190" width="121" style="215" customWidth="1"/>
    <col min="8191" max="8193" width="11.85546875" style="215" bestFit="1" customWidth="1"/>
    <col min="8194" max="8444" width="11.42578125" style="215"/>
    <col min="8445" max="8445" width="1.42578125" style="215" customWidth="1"/>
    <col min="8446" max="8446" width="121" style="215" customWidth="1"/>
    <col min="8447" max="8449" width="11.85546875" style="215" bestFit="1" customWidth="1"/>
    <col min="8450" max="8700" width="11.42578125" style="215"/>
    <col min="8701" max="8701" width="1.42578125" style="215" customWidth="1"/>
    <col min="8702" max="8702" width="121" style="215" customWidth="1"/>
    <col min="8703" max="8705" width="11.85546875" style="215" bestFit="1" customWidth="1"/>
    <col min="8706" max="8956" width="11.42578125" style="215"/>
    <col min="8957" max="8957" width="1.42578125" style="215" customWidth="1"/>
    <col min="8958" max="8958" width="121" style="215" customWidth="1"/>
    <col min="8959" max="8961" width="11.85546875" style="215" bestFit="1" customWidth="1"/>
    <col min="8962" max="9212" width="11.42578125" style="215"/>
    <col min="9213" max="9213" width="1.42578125" style="215" customWidth="1"/>
    <col min="9214" max="9214" width="121" style="215" customWidth="1"/>
    <col min="9215" max="9217" width="11.85546875" style="215" bestFit="1" customWidth="1"/>
    <col min="9218" max="9468" width="11.42578125" style="215"/>
    <col min="9469" max="9469" width="1.42578125" style="215" customWidth="1"/>
    <col min="9470" max="9470" width="121" style="215" customWidth="1"/>
    <col min="9471" max="9473" width="11.85546875" style="215" bestFit="1" customWidth="1"/>
    <col min="9474" max="9724" width="11.42578125" style="215"/>
    <col min="9725" max="9725" width="1.42578125" style="215" customWidth="1"/>
    <col min="9726" max="9726" width="121" style="215" customWidth="1"/>
    <col min="9727" max="9729" width="11.85546875" style="215" bestFit="1" customWidth="1"/>
    <col min="9730" max="9980" width="11.42578125" style="215"/>
    <col min="9981" max="9981" width="1.42578125" style="215" customWidth="1"/>
    <col min="9982" max="9982" width="121" style="215" customWidth="1"/>
    <col min="9983" max="9985" width="11.85546875" style="215" bestFit="1" customWidth="1"/>
    <col min="9986" max="10236" width="11.42578125" style="215"/>
    <col min="10237" max="10237" width="1.42578125" style="215" customWidth="1"/>
    <col min="10238" max="10238" width="121" style="215" customWidth="1"/>
    <col min="10239" max="10241" width="11.85546875" style="215" bestFit="1" customWidth="1"/>
    <col min="10242" max="10492" width="11.42578125" style="215"/>
    <col min="10493" max="10493" width="1.42578125" style="215" customWidth="1"/>
    <col min="10494" max="10494" width="121" style="215" customWidth="1"/>
    <col min="10495" max="10497" width="11.85546875" style="215" bestFit="1" customWidth="1"/>
    <col min="10498" max="10748" width="11.42578125" style="215"/>
    <col min="10749" max="10749" width="1.42578125" style="215" customWidth="1"/>
    <col min="10750" max="10750" width="121" style="215" customWidth="1"/>
    <col min="10751" max="10753" width="11.85546875" style="215" bestFit="1" customWidth="1"/>
    <col min="10754" max="11004" width="11.42578125" style="215"/>
    <col min="11005" max="11005" width="1.42578125" style="215" customWidth="1"/>
    <col min="11006" max="11006" width="121" style="215" customWidth="1"/>
    <col min="11007" max="11009" width="11.85546875" style="215" bestFit="1" customWidth="1"/>
    <col min="11010" max="11260" width="11.42578125" style="215"/>
    <col min="11261" max="11261" width="1.42578125" style="215" customWidth="1"/>
    <col min="11262" max="11262" width="121" style="215" customWidth="1"/>
    <col min="11263" max="11265" width="11.85546875" style="215" bestFit="1" customWidth="1"/>
    <col min="11266" max="11516" width="11.42578125" style="215"/>
    <col min="11517" max="11517" width="1.42578125" style="215" customWidth="1"/>
    <col min="11518" max="11518" width="121" style="215" customWidth="1"/>
    <col min="11519" max="11521" width="11.85546875" style="215" bestFit="1" customWidth="1"/>
    <col min="11522" max="11772" width="11.42578125" style="215"/>
    <col min="11773" max="11773" width="1.42578125" style="215" customWidth="1"/>
    <col min="11774" max="11774" width="121" style="215" customWidth="1"/>
    <col min="11775" max="11777" width="11.85546875" style="215" bestFit="1" customWidth="1"/>
    <col min="11778" max="12028" width="11.42578125" style="215"/>
    <col min="12029" max="12029" width="1.42578125" style="215" customWidth="1"/>
    <col min="12030" max="12030" width="121" style="215" customWidth="1"/>
    <col min="12031" max="12033" width="11.85546875" style="215" bestFit="1" customWidth="1"/>
    <col min="12034" max="12284" width="11.42578125" style="215"/>
    <col min="12285" max="12285" width="1.42578125" style="215" customWidth="1"/>
    <col min="12286" max="12286" width="121" style="215" customWidth="1"/>
    <col min="12287" max="12289" width="11.85546875" style="215" bestFit="1" customWidth="1"/>
    <col min="12290" max="12540" width="11.42578125" style="215"/>
    <col min="12541" max="12541" width="1.42578125" style="215" customWidth="1"/>
    <col min="12542" max="12542" width="121" style="215" customWidth="1"/>
    <col min="12543" max="12545" width="11.85546875" style="215" bestFit="1" customWidth="1"/>
    <col min="12546" max="12796" width="11.42578125" style="215"/>
    <col min="12797" max="12797" width="1.42578125" style="215" customWidth="1"/>
    <col min="12798" max="12798" width="121" style="215" customWidth="1"/>
    <col min="12799" max="12801" width="11.85546875" style="215" bestFit="1" customWidth="1"/>
    <col min="12802" max="13052" width="11.42578125" style="215"/>
    <col min="13053" max="13053" width="1.42578125" style="215" customWidth="1"/>
    <col min="13054" max="13054" width="121" style="215" customWidth="1"/>
    <col min="13055" max="13057" width="11.85546875" style="215" bestFit="1" customWidth="1"/>
    <col min="13058" max="13308" width="11.42578125" style="215"/>
    <col min="13309" max="13309" width="1.42578125" style="215" customWidth="1"/>
    <col min="13310" max="13310" width="121" style="215" customWidth="1"/>
    <col min="13311" max="13313" width="11.85546875" style="215" bestFit="1" customWidth="1"/>
    <col min="13314" max="13564" width="11.42578125" style="215"/>
    <col min="13565" max="13565" width="1.42578125" style="215" customWidth="1"/>
    <col min="13566" max="13566" width="121" style="215" customWidth="1"/>
    <col min="13567" max="13569" width="11.85546875" style="215" bestFit="1" customWidth="1"/>
    <col min="13570" max="13820" width="11.42578125" style="215"/>
    <col min="13821" max="13821" width="1.42578125" style="215" customWidth="1"/>
    <col min="13822" max="13822" width="121" style="215" customWidth="1"/>
    <col min="13823" max="13825" width="11.85546875" style="215" bestFit="1" customWidth="1"/>
    <col min="13826" max="14076" width="11.42578125" style="215"/>
    <col min="14077" max="14077" width="1.42578125" style="215" customWidth="1"/>
    <col min="14078" max="14078" width="121" style="215" customWidth="1"/>
    <col min="14079" max="14081" width="11.85546875" style="215" bestFit="1" customWidth="1"/>
    <col min="14082" max="14332" width="11.42578125" style="215"/>
    <col min="14333" max="14333" width="1.42578125" style="215" customWidth="1"/>
    <col min="14334" max="14334" width="121" style="215" customWidth="1"/>
    <col min="14335" max="14337" width="11.85546875" style="215" bestFit="1" customWidth="1"/>
    <col min="14338" max="14588" width="11.42578125" style="215"/>
    <col min="14589" max="14589" width="1.42578125" style="215" customWidth="1"/>
    <col min="14590" max="14590" width="121" style="215" customWidth="1"/>
    <col min="14591" max="14593" width="11.85546875" style="215" bestFit="1" customWidth="1"/>
    <col min="14594" max="14844" width="11.42578125" style="215"/>
    <col min="14845" max="14845" width="1.42578125" style="215" customWidth="1"/>
    <col min="14846" max="14846" width="121" style="215" customWidth="1"/>
    <col min="14847" max="14849" width="11.85546875" style="215" bestFit="1" customWidth="1"/>
    <col min="14850" max="15100" width="11.42578125" style="215"/>
    <col min="15101" max="15101" width="1.42578125" style="215" customWidth="1"/>
    <col min="15102" max="15102" width="121" style="215" customWidth="1"/>
    <col min="15103" max="15105" width="11.85546875" style="215" bestFit="1" customWidth="1"/>
    <col min="15106" max="15356" width="11.42578125" style="215"/>
    <col min="15357" max="15357" width="1.42578125" style="215" customWidth="1"/>
    <col min="15358" max="15358" width="121" style="215" customWidth="1"/>
    <col min="15359" max="15361" width="11.85546875" style="215" bestFit="1" customWidth="1"/>
    <col min="15362" max="15612" width="11.42578125" style="215"/>
    <col min="15613" max="15613" width="1.42578125" style="215" customWidth="1"/>
    <col min="15614" max="15614" width="121" style="215" customWidth="1"/>
    <col min="15615" max="15617" width="11.85546875" style="215" bestFit="1" customWidth="1"/>
    <col min="15618" max="15868" width="11.42578125" style="215"/>
    <col min="15869" max="15869" width="1.42578125" style="215" customWidth="1"/>
    <col min="15870" max="15870" width="121" style="215" customWidth="1"/>
    <col min="15871" max="15873" width="11.85546875" style="215" bestFit="1" customWidth="1"/>
    <col min="15874" max="16124" width="11.42578125" style="215"/>
    <col min="16125" max="16125" width="1.42578125" style="215" customWidth="1"/>
    <col min="16126" max="16126" width="121" style="215" customWidth="1"/>
    <col min="16127" max="16129" width="11.85546875" style="215" bestFit="1" customWidth="1"/>
    <col min="16130" max="16384" width="11.42578125" style="215"/>
  </cols>
  <sheetData>
    <row r="2" spans="5:8" ht="15.75" thickBot="1"/>
    <row r="3" spans="5:8" ht="15.75" thickBot="1">
      <c r="E3" s="216" t="s">
        <v>316</v>
      </c>
      <c r="F3" s="217" t="s">
        <v>717</v>
      </c>
    </row>
    <row r="4" spans="5:8">
      <c r="E4" s="216" t="s">
        <v>113</v>
      </c>
      <c r="F4" s="218"/>
    </row>
    <row r="5" spans="5:8">
      <c r="E5" s="219" t="s">
        <v>317</v>
      </c>
      <c r="F5" s="220"/>
    </row>
    <row r="6" spans="5:8">
      <c r="E6" s="221" t="s">
        <v>24</v>
      </c>
      <c r="F6" s="222"/>
    </row>
    <row r="7" spans="5:8">
      <c r="E7" s="223" t="s">
        <v>25</v>
      </c>
      <c r="F7" s="222"/>
    </row>
    <row r="8" spans="5:8">
      <c r="E8" s="224" t="s">
        <v>318</v>
      </c>
      <c r="F8" s="225">
        <f>+'balance 2023 los andes final '!G5+'balance 2023 los andes final '!G6+'balance 2023 los andes final '!G7</f>
        <v>152903257</v>
      </c>
    </row>
    <row r="9" spans="5:8">
      <c r="E9" s="224" t="s">
        <v>319</v>
      </c>
      <c r="F9" s="225">
        <f>+'balance 2023 los andes final '!G12+'balance 2023 los andes final '!G13</f>
        <v>9200000</v>
      </c>
      <c r="H9" s="226"/>
    </row>
    <row r="10" spans="5:8">
      <c r="E10" s="224" t="s">
        <v>320</v>
      </c>
      <c r="F10" s="225">
        <f>+'balance 2023 los andes final '!G9-'balance 2023 los andes final '!H10-'balance 2023 los andes final '!H39</f>
        <v>157860000</v>
      </c>
    </row>
    <row r="11" spans="5:8">
      <c r="E11" s="224" t="s">
        <v>321</v>
      </c>
      <c r="F11" s="225"/>
      <c r="H11" s="226">
        <f>+F11-F28</f>
        <v>0</v>
      </c>
    </row>
    <row r="12" spans="5:8">
      <c r="E12" s="224" t="s">
        <v>322</v>
      </c>
      <c r="F12" s="225">
        <f>+'balance 2023 los andes antes im'!G11</f>
        <v>331960642.45844543</v>
      </c>
    </row>
    <row r="13" spans="5:8">
      <c r="E13" s="224" t="s">
        <v>323</v>
      </c>
      <c r="F13" s="225">
        <f>+'balance 2023 los andes final '!G14+'balance 2023 los andes final '!G15</f>
        <v>55947293.386554629</v>
      </c>
    </row>
    <row r="14" spans="5:8">
      <c r="E14" s="227" t="s">
        <v>26</v>
      </c>
      <c r="F14" s="228">
        <f>SUM(F8:F13)</f>
        <v>707871192.84500003</v>
      </c>
    </row>
    <row r="15" spans="5:8">
      <c r="E15" s="223" t="s">
        <v>27</v>
      </c>
      <c r="F15" s="222"/>
    </row>
    <row r="16" spans="5:8">
      <c r="E16" s="229" t="s">
        <v>324</v>
      </c>
      <c r="F16" s="225">
        <f>+'balance 2023 los andes final '!G19+'balance 2023 los andes final '!G20+'balance 2023 los andes final '!G22+'balance 2023 los andes final '!G23+'balance 2023 los andes final '!G24+'balance 2023 los andes final '!G25-'balance 2023 los andes final '!H27-'balance 2023 los andes final '!H28</f>
        <v>454447575.8888889</v>
      </c>
    </row>
    <row r="17" spans="5:8">
      <c r="E17" s="229" t="s">
        <v>359</v>
      </c>
      <c r="F17" s="225">
        <f>+'balance 2023 los andes antes im'!G18</f>
        <v>12825000</v>
      </c>
    </row>
    <row r="18" spans="5:8">
      <c r="E18" s="229" t="s">
        <v>403</v>
      </c>
      <c r="F18" s="225">
        <f>+'balance 2023 los andes final '!G29</f>
        <v>24896397</v>
      </c>
    </row>
    <row r="19" spans="5:8">
      <c r="E19" s="229" t="s">
        <v>362</v>
      </c>
      <c r="F19" s="225">
        <f>+'balance 2023 los andes antes im'!G44</f>
        <v>0</v>
      </c>
    </row>
    <row r="20" spans="5:8">
      <c r="E20" s="227" t="s">
        <v>28</v>
      </c>
      <c r="F20" s="228">
        <f>SUM(F16:F19)</f>
        <v>492168972.8888889</v>
      </c>
    </row>
    <row r="21" spans="5:8">
      <c r="E21" s="230" t="s">
        <v>29</v>
      </c>
      <c r="F21" s="231">
        <f>+F20+F14</f>
        <v>1200040165.7338889</v>
      </c>
    </row>
    <row r="22" spans="5:8">
      <c r="E22" s="230"/>
      <c r="F22" s="232"/>
    </row>
    <row r="23" spans="5:8">
      <c r="E23" s="233" t="s">
        <v>325</v>
      </c>
      <c r="F23" s="222"/>
    </row>
    <row r="24" spans="5:8">
      <c r="E24" s="223" t="s">
        <v>30</v>
      </c>
      <c r="F24" s="222"/>
    </row>
    <row r="25" spans="5:8">
      <c r="E25" s="227" t="s">
        <v>31</v>
      </c>
      <c r="F25" s="222"/>
    </row>
    <row r="26" spans="5:8">
      <c r="E26" s="224" t="s">
        <v>326</v>
      </c>
      <c r="F26" s="225">
        <f>+'balance 2023 los andes final '!H30+'balance 2023 los andes final '!H31+'balance 2023 los andes final '!H41+'balance 2023 los andes final '!H43</f>
        <v>133549168.44249593</v>
      </c>
    </row>
    <row r="27" spans="5:8">
      <c r="E27" s="224" t="s">
        <v>327</v>
      </c>
      <c r="F27" s="225">
        <f>+'balance 2023 los andes final '!H33+'balance 2023 los andes final '!H34+'balance 2023 los andes final '!H36</f>
        <v>212082542</v>
      </c>
    </row>
    <row r="28" spans="5:8">
      <c r="E28" s="224" t="s">
        <v>328</v>
      </c>
      <c r="F28" s="225"/>
    </row>
    <row r="29" spans="5:8">
      <c r="E29" s="224" t="s">
        <v>329</v>
      </c>
      <c r="F29" s="225">
        <f>+'balance 2023 los andes final '!H32+'balance 2023 los andes final '!H40+'balance 2023 los andes final '!H42</f>
        <v>16341600.816806722</v>
      </c>
    </row>
    <row r="30" spans="5:8">
      <c r="E30" s="227" t="s">
        <v>330</v>
      </c>
      <c r="F30" s="228">
        <f>SUM(F26:F29)</f>
        <v>361973311.25930268</v>
      </c>
    </row>
    <row r="31" spans="5:8">
      <c r="E31" s="227" t="s">
        <v>32</v>
      </c>
      <c r="F31" s="222"/>
    </row>
    <row r="32" spans="5:8">
      <c r="E32" s="224" t="s">
        <v>331</v>
      </c>
      <c r="F32" s="225"/>
      <c r="H32" s="226"/>
    </row>
    <row r="33" spans="5:9">
      <c r="E33" s="224" t="s">
        <v>672</v>
      </c>
      <c r="F33" s="225">
        <f>+'balance 2023 los andes final '!H44</f>
        <v>3866760.594957985</v>
      </c>
      <c r="H33" s="226"/>
    </row>
    <row r="34" spans="5:9">
      <c r="E34" s="227" t="s">
        <v>33</v>
      </c>
      <c r="F34" s="228">
        <f>+F33</f>
        <v>3866760.594957985</v>
      </c>
    </row>
    <row r="35" spans="5:9">
      <c r="E35" s="230" t="s">
        <v>332</v>
      </c>
      <c r="F35" s="231">
        <f>+F34+F30</f>
        <v>365840071.85426068</v>
      </c>
    </row>
    <row r="36" spans="5:9">
      <c r="E36" s="223" t="s">
        <v>34</v>
      </c>
      <c r="F36" s="222"/>
    </row>
    <row r="37" spans="5:9">
      <c r="E37" s="229" t="s">
        <v>333</v>
      </c>
      <c r="F37" s="225">
        <f>+'balance 2023 los andes antes im'!H45</f>
        <v>200000000</v>
      </c>
    </row>
    <row r="38" spans="5:9">
      <c r="E38" s="229" t="s">
        <v>360</v>
      </c>
      <c r="F38" s="225">
        <f>-'balance 2023 los andes antes im'!G46-'balance 2023 los andes antes im'!G47</f>
        <v>-40000000</v>
      </c>
    </row>
    <row r="39" spans="5:9">
      <c r="E39" s="229" t="s">
        <v>361</v>
      </c>
      <c r="F39" s="225">
        <f>+'balance 2023 los andes antes im'!H48</f>
        <v>112500000</v>
      </c>
    </row>
    <row r="40" spans="5:9">
      <c r="E40" s="229" t="s">
        <v>334</v>
      </c>
      <c r="F40" s="225">
        <f>+'balance 2023 los andes final '!H51+'balance 2023 los andes final '!H82+'balance 2023 los andes final '!H38</f>
        <v>561700093.87962818</v>
      </c>
    </row>
    <row r="41" spans="5:9">
      <c r="E41" s="227" t="s">
        <v>35</v>
      </c>
      <c r="F41" s="228">
        <f>SUM(F37:F40)</f>
        <v>834200093.87962818</v>
      </c>
    </row>
    <row r="42" spans="5:9" ht="15.75" thickBot="1">
      <c r="E42" s="234" t="s">
        <v>36</v>
      </c>
      <c r="F42" s="235">
        <f>+F41+F34+F30</f>
        <v>1200040165.7338889</v>
      </c>
      <c r="H42" s="226"/>
      <c r="I42" s="226"/>
    </row>
    <row r="43" spans="5:9">
      <c r="E43" s="236"/>
    </row>
    <row r="44" spans="5:9">
      <c r="E44" s="236"/>
      <c r="F44" s="226">
        <f>+F21-F42</f>
        <v>0</v>
      </c>
    </row>
    <row r="45" spans="5:9">
      <c r="E45" s="236"/>
    </row>
    <row r="46" spans="5:9">
      <c r="E46" s="236"/>
    </row>
    <row r="47" spans="5:9">
      <c r="E47" s="236"/>
    </row>
    <row r="48" spans="5:9">
      <c r="E48" s="236"/>
    </row>
    <row r="49" spans="5:5">
      <c r="E49" s="236"/>
    </row>
    <row r="50" spans="5:5">
      <c r="E50" s="236"/>
    </row>
    <row r="51" spans="5:5">
      <c r="E51" s="236"/>
    </row>
  </sheetData>
  <pageMargins left="0.25" right="0.25" top="0.75" bottom="0.75" header="0.3" footer="0.3"/>
  <pageSetup orientation="portrait" horizontalDpi="4294967293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6"/>
  <sheetViews>
    <sheetView workbookViewId="0">
      <selection activeCell="G17" sqref="G17"/>
    </sheetView>
  </sheetViews>
  <sheetFormatPr baseColWidth="10" defaultRowHeight="15"/>
  <cols>
    <col min="1" max="4" width="11.42578125" style="215"/>
    <col min="5" max="5" width="3.7109375" style="215" customWidth="1"/>
    <col min="6" max="6" width="69.5703125" style="215" customWidth="1"/>
    <col min="7" max="7" width="15.85546875" style="215" bestFit="1" customWidth="1"/>
    <col min="8" max="9" width="16.85546875" style="215" bestFit="1" customWidth="1"/>
    <col min="10" max="258" width="11.42578125" style="215"/>
    <col min="259" max="259" width="3.7109375" style="215" customWidth="1"/>
    <col min="260" max="260" width="92.140625" style="215" customWidth="1"/>
    <col min="261" max="262" width="11.85546875" style="215" bestFit="1" customWidth="1"/>
    <col min="263" max="514" width="11.42578125" style="215"/>
    <col min="515" max="515" width="3.7109375" style="215" customWidth="1"/>
    <col min="516" max="516" width="92.140625" style="215" customWidth="1"/>
    <col min="517" max="518" width="11.85546875" style="215" bestFit="1" customWidth="1"/>
    <col min="519" max="770" width="11.42578125" style="215"/>
    <col min="771" max="771" width="3.7109375" style="215" customWidth="1"/>
    <col min="772" max="772" width="92.140625" style="215" customWidth="1"/>
    <col min="773" max="774" width="11.85546875" style="215" bestFit="1" customWidth="1"/>
    <col min="775" max="1026" width="11.42578125" style="215"/>
    <col min="1027" max="1027" width="3.7109375" style="215" customWidth="1"/>
    <col min="1028" max="1028" width="92.140625" style="215" customWidth="1"/>
    <col min="1029" max="1030" width="11.85546875" style="215" bestFit="1" customWidth="1"/>
    <col min="1031" max="1282" width="11.42578125" style="215"/>
    <col min="1283" max="1283" width="3.7109375" style="215" customWidth="1"/>
    <col min="1284" max="1284" width="92.140625" style="215" customWidth="1"/>
    <col min="1285" max="1286" width="11.85546875" style="215" bestFit="1" customWidth="1"/>
    <col min="1287" max="1538" width="11.42578125" style="215"/>
    <col min="1539" max="1539" width="3.7109375" style="215" customWidth="1"/>
    <col min="1540" max="1540" width="92.140625" style="215" customWidth="1"/>
    <col min="1541" max="1542" width="11.85546875" style="215" bestFit="1" customWidth="1"/>
    <col min="1543" max="1794" width="11.42578125" style="215"/>
    <col min="1795" max="1795" width="3.7109375" style="215" customWidth="1"/>
    <col min="1796" max="1796" width="92.140625" style="215" customWidth="1"/>
    <col min="1797" max="1798" width="11.85546875" style="215" bestFit="1" customWidth="1"/>
    <col min="1799" max="2050" width="11.42578125" style="215"/>
    <col min="2051" max="2051" width="3.7109375" style="215" customWidth="1"/>
    <col min="2052" max="2052" width="92.140625" style="215" customWidth="1"/>
    <col min="2053" max="2054" width="11.85546875" style="215" bestFit="1" customWidth="1"/>
    <col min="2055" max="2306" width="11.42578125" style="215"/>
    <col min="2307" max="2307" width="3.7109375" style="215" customWidth="1"/>
    <col min="2308" max="2308" width="92.140625" style="215" customWidth="1"/>
    <col min="2309" max="2310" width="11.85546875" style="215" bestFit="1" customWidth="1"/>
    <col min="2311" max="2562" width="11.42578125" style="215"/>
    <col min="2563" max="2563" width="3.7109375" style="215" customWidth="1"/>
    <col min="2564" max="2564" width="92.140625" style="215" customWidth="1"/>
    <col min="2565" max="2566" width="11.85546875" style="215" bestFit="1" customWidth="1"/>
    <col min="2567" max="2818" width="11.42578125" style="215"/>
    <col min="2819" max="2819" width="3.7109375" style="215" customWidth="1"/>
    <col min="2820" max="2820" width="92.140625" style="215" customWidth="1"/>
    <col min="2821" max="2822" width="11.85546875" style="215" bestFit="1" customWidth="1"/>
    <col min="2823" max="3074" width="11.42578125" style="215"/>
    <col min="3075" max="3075" width="3.7109375" style="215" customWidth="1"/>
    <col min="3076" max="3076" width="92.140625" style="215" customWidth="1"/>
    <col min="3077" max="3078" width="11.85546875" style="215" bestFit="1" customWidth="1"/>
    <col min="3079" max="3330" width="11.42578125" style="215"/>
    <col min="3331" max="3331" width="3.7109375" style="215" customWidth="1"/>
    <col min="3332" max="3332" width="92.140625" style="215" customWidth="1"/>
    <col min="3333" max="3334" width="11.85546875" style="215" bestFit="1" customWidth="1"/>
    <col min="3335" max="3586" width="11.42578125" style="215"/>
    <col min="3587" max="3587" width="3.7109375" style="215" customWidth="1"/>
    <col min="3588" max="3588" width="92.140625" style="215" customWidth="1"/>
    <col min="3589" max="3590" width="11.85546875" style="215" bestFit="1" customWidth="1"/>
    <col min="3591" max="3842" width="11.42578125" style="215"/>
    <col min="3843" max="3843" width="3.7109375" style="215" customWidth="1"/>
    <col min="3844" max="3844" width="92.140625" style="215" customWidth="1"/>
    <col min="3845" max="3846" width="11.85546875" style="215" bestFit="1" customWidth="1"/>
    <col min="3847" max="4098" width="11.42578125" style="215"/>
    <col min="4099" max="4099" width="3.7109375" style="215" customWidth="1"/>
    <col min="4100" max="4100" width="92.140625" style="215" customWidth="1"/>
    <col min="4101" max="4102" width="11.85546875" style="215" bestFit="1" customWidth="1"/>
    <col min="4103" max="4354" width="11.42578125" style="215"/>
    <col min="4355" max="4355" width="3.7109375" style="215" customWidth="1"/>
    <col min="4356" max="4356" width="92.140625" style="215" customWidth="1"/>
    <col min="4357" max="4358" width="11.85546875" style="215" bestFit="1" customWidth="1"/>
    <col min="4359" max="4610" width="11.42578125" style="215"/>
    <col min="4611" max="4611" width="3.7109375" style="215" customWidth="1"/>
    <col min="4612" max="4612" width="92.140625" style="215" customWidth="1"/>
    <col min="4613" max="4614" width="11.85546875" style="215" bestFit="1" customWidth="1"/>
    <col min="4615" max="4866" width="11.42578125" style="215"/>
    <col min="4867" max="4867" width="3.7109375" style="215" customWidth="1"/>
    <col min="4868" max="4868" width="92.140625" style="215" customWidth="1"/>
    <col min="4869" max="4870" width="11.85546875" style="215" bestFit="1" customWidth="1"/>
    <col min="4871" max="5122" width="11.42578125" style="215"/>
    <col min="5123" max="5123" width="3.7109375" style="215" customWidth="1"/>
    <col min="5124" max="5124" width="92.140625" style="215" customWidth="1"/>
    <col min="5125" max="5126" width="11.85546875" style="215" bestFit="1" customWidth="1"/>
    <col min="5127" max="5378" width="11.42578125" style="215"/>
    <col min="5379" max="5379" width="3.7109375" style="215" customWidth="1"/>
    <col min="5380" max="5380" width="92.140625" style="215" customWidth="1"/>
    <col min="5381" max="5382" width="11.85546875" style="215" bestFit="1" customWidth="1"/>
    <col min="5383" max="5634" width="11.42578125" style="215"/>
    <col min="5635" max="5635" width="3.7109375" style="215" customWidth="1"/>
    <col min="5636" max="5636" width="92.140625" style="215" customWidth="1"/>
    <col min="5637" max="5638" width="11.85546875" style="215" bestFit="1" customWidth="1"/>
    <col min="5639" max="5890" width="11.42578125" style="215"/>
    <col min="5891" max="5891" width="3.7109375" style="215" customWidth="1"/>
    <col min="5892" max="5892" width="92.140625" style="215" customWidth="1"/>
    <col min="5893" max="5894" width="11.85546875" style="215" bestFit="1" customWidth="1"/>
    <col min="5895" max="6146" width="11.42578125" style="215"/>
    <col min="6147" max="6147" width="3.7109375" style="215" customWidth="1"/>
    <col min="6148" max="6148" width="92.140625" style="215" customWidth="1"/>
    <col min="6149" max="6150" width="11.85546875" style="215" bestFit="1" customWidth="1"/>
    <col min="6151" max="6402" width="11.42578125" style="215"/>
    <col min="6403" max="6403" width="3.7109375" style="215" customWidth="1"/>
    <col min="6404" max="6404" width="92.140625" style="215" customWidth="1"/>
    <col min="6405" max="6406" width="11.85546875" style="215" bestFit="1" customWidth="1"/>
    <col min="6407" max="6658" width="11.42578125" style="215"/>
    <col min="6659" max="6659" width="3.7109375" style="215" customWidth="1"/>
    <col min="6660" max="6660" width="92.140625" style="215" customWidth="1"/>
    <col min="6661" max="6662" width="11.85546875" style="215" bestFit="1" customWidth="1"/>
    <col min="6663" max="6914" width="11.42578125" style="215"/>
    <col min="6915" max="6915" width="3.7109375" style="215" customWidth="1"/>
    <col min="6916" max="6916" width="92.140625" style="215" customWidth="1"/>
    <col min="6917" max="6918" width="11.85546875" style="215" bestFit="1" customWidth="1"/>
    <col min="6919" max="7170" width="11.42578125" style="215"/>
    <col min="7171" max="7171" width="3.7109375" style="215" customWidth="1"/>
    <col min="7172" max="7172" width="92.140625" style="215" customWidth="1"/>
    <col min="7173" max="7174" width="11.85546875" style="215" bestFit="1" customWidth="1"/>
    <col min="7175" max="7426" width="11.42578125" style="215"/>
    <col min="7427" max="7427" width="3.7109375" style="215" customWidth="1"/>
    <col min="7428" max="7428" width="92.140625" style="215" customWidth="1"/>
    <col min="7429" max="7430" width="11.85546875" style="215" bestFit="1" customWidth="1"/>
    <col min="7431" max="7682" width="11.42578125" style="215"/>
    <col min="7683" max="7683" width="3.7109375" style="215" customWidth="1"/>
    <col min="7684" max="7684" width="92.140625" style="215" customWidth="1"/>
    <col min="7685" max="7686" width="11.85546875" style="215" bestFit="1" customWidth="1"/>
    <col min="7687" max="7938" width="11.42578125" style="215"/>
    <col min="7939" max="7939" width="3.7109375" style="215" customWidth="1"/>
    <col min="7940" max="7940" width="92.140625" style="215" customWidth="1"/>
    <col min="7941" max="7942" width="11.85546875" style="215" bestFit="1" customWidth="1"/>
    <col min="7943" max="8194" width="11.42578125" style="215"/>
    <col min="8195" max="8195" width="3.7109375" style="215" customWidth="1"/>
    <col min="8196" max="8196" width="92.140625" style="215" customWidth="1"/>
    <col min="8197" max="8198" width="11.85546875" style="215" bestFit="1" customWidth="1"/>
    <col min="8199" max="8450" width="11.42578125" style="215"/>
    <col min="8451" max="8451" width="3.7109375" style="215" customWidth="1"/>
    <col min="8452" max="8452" width="92.140625" style="215" customWidth="1"/>
    <col min="8453" max="8454" width="11.85546875" style="215" bestFit="1" customWidth="1"/>
    <col min="8455" max="8706" width="11.42578125" style="215"/>
    <col min="8707" max="8707" width="3.7109375" style="215" customWidth="1"/>
    <col min="8708" max="8708" width="92.140625" style="215" customWidth="1"/>
    <col min="8709" max="8710" width="11.85546875" style="215" bestFit="1" customWidth="1"/>
    <col min="8711" max="8962" width="11.42578125" style="215"/>
    <col min="8963" max="8963" width="3.7109375" style="215" customWidth="1"/>
    <col min="8964" max="8964" width="92.140625" style="215" customWidth="1"/>
    <col min="8965" max="8966" width="11.85546875" style="215" bestFit="1" customWidth="1"/>
    <col min="8967" max="9218" width="11.42578125" style="215"/>
    <col min="9219" max="9219" width="3.7109375" style="215" customWidth="1"/>
    <col min="9220" max="9220" width="92.140625" style="215" customWidth="1"/>
    <col min="9221" max="9222" width="11.85546875" style="215" bestFit="1" customWidth="1"/>
    <col min="9223" max="9474" width="11.42578125" style="215"/>
    <col min="9475" max="9475" width="3.7109375" style="215" customWidth="1"/>
    <col min="9476" max="9476" width="92.140625" style="215" customWidth="1"/>
    <col min="9477" max="9478" width="11.85546875" style="215" bestFit="1" customWidth="1"/>
    <col min="9479" max="9730" width="11.42578125" style="215"/>
    <col min="9731" max="9731" width="3.7109375" style="215" customWidth="1"/>
    <col min="9732" max="9732" width="92.140625" style="215" customWidth="1"/>
    <col min="9733" max="9734" width="11.85546875" style="215" bestFit="1" customWidth="1"/>
    <col min="9735" max="9986" width="11.42578125" style="215"/>
    <col min="9987" max="9987" width="3.7109375" style="215" customWidth="1"/>
    <col min="9988" max="9988" width="92.140625" style="215" customWidth="1"/>
    <col min="9989" max="9990" width="11.85546875" style="215" bestFit="1" customWidth="1"/>
    <col min="9991" max="10242" width="11.42578125" style="215"/>
    <col min="10243" max="10243" width="3.7109375" style="215" customWidth="1"/>
    <col min="10244" max="10244" width="92.140625" style="215" customWidth="1"/>
    <col min="10245" max="10246" width="11.85546875" style="215" bestFit="1" customWidth="1"/>
    <col min="10247" max="10498" width="11.42578125" style="215"/>
    <col min="10499" max="10499" width="3.7109375" style="215" customWidth="1"/>
    <col min="10500" max="10500" width="92.140625" style="215" customWidth="1"/>
    <col min="10501" max="10502" width="11.85546875" style="215" bestFit="1" customWidth="1"/>
    <col min="10503" max="10754" width="11.42578125" style="215"/>
    <col min="10755" max="10755" width="3.7109375" style="215" customWidth="1"/>
    <col min="10756" max="10756" width="92.140625" style="215" customWidth="1"/>
    <col min="10757" max="10758" width="11.85546875" style="215" bestFit="1" customWidth="1"/>
    <col min="10759" max="11010" width="11.42578125" style="215"/>
    <col min="11011" max="11011" width="3.7109375" style="215" customWidth="1"/>
    <col min="11012" max="11012" width="92.140625" style="215" customWidth="1"/>
    <col min="11013" max="11014" width="11.85546875" style="215" bestFit="1" customWidth="1"/>
    <col min="11015" max="11266" width="11.42578125" style="215"/>
    <col min="11267" max="11267" width="3.7109375" style="215" customWidth="1"/>
    <col min="11268" max="11268" width="92.140625" style="215" customWidth="1"/>
    <col min="11269" max="11270" width="11.85546875" style="215" bestFit="1" customWidth="1"/>
    <col min="11271" max="11522" width="11.42578125" style="215"/>
    <col min="11523" max="11523" width="3.7109375" style="215" customWidth="1"/>
    <col min="11524" max="11524" width="92.140625" style="215" customWidth="1"/>
    <col min="11525" max="11526" width="11.85546875" style="215" bestFit="1" customWidth="1"/>
    <col min="11527" max="11778" width="11.42578125" style="215"/>
    <col min="11779" max="11779" width="3.7109375" style="215" customWidth="1"/>
    <col min="11780" max="11780" width="92.140625" style="215" customWidth="1"/>
    <col min="11781" max="11782" width="11.85546875" style="215" bestFit="1" customWidth="1"/>
    <col min="11783" max="12034" width="11.42578125" style="215"/>
    <col min="12035" max="12035" width="3.7109375" style="215" customWidth="1"/>
    <col min="12036" max="12036" width="92.140625" style="215" customWidth="1"/>
    <col min="12037" max="12038" width="11.85546875" style="215" bestFit="1" customWidth="1"/>
    <col min="12039" max="12290" width="11.42578125" style="215"/>
    <col min="12291" max="12291" width="3.7109375" style="215" customWidth="1"/>
    <col min="12292" max="12292" width="92.140625" style="215" customWidth="1"/>
    <col min="12293" max="12294" width="11.85546875" style="215" bestFit="1" customWidth="1"/>
    <col min="12295" max="12546" width="11.42578125" style="215"/>
    <col min="12547" max="12547" width="3.7109375" style="215" customWidth="1"/>
    <col min="12548" max="12548" width="92.140625" style="215" customWidth="1"/>
    <col min="12549" max="12550" width="11.85546875" style="215" bestFit="1" customWidth="1"/>
    <col min="12551" max="12802" width="11.42578125" style="215"/>
    <col min="12803" max="12803" width="3.7109375" style="215" customWidth="1"/>
    <col min="12804" max="12804" width="92.140625" style="215" customWidth="1"/>
    <col min="12805" max="12806" width="11.85546875" style="215" bestFit="1" customWidth="1"/>
    <col min="12807" max="13058" width="11.42578125" style="215"/>
    <col min="13059" max="13059" width="3.7109375" style="215" customWidth="1"/>
    <col min="13060" max="13060" width="92.140625" style="215" customWidth="1"/>
    <col min="13061" max="13062" width="11.85546875" style="215" bestFit="1" customWidth="1"/>
    <col min="13063" max="13314" width="11.42578125" style="215"/>
    <col min="13315" max="13315" width="3.7109375" style="215" customWidth="1"/>
    <col min="13316" max="13316" width="92.140625" style="215" customWidth="1"/>
    <col min="13317" max="13318" width="11.85546875" style="215" bestFit="1" customWidth="1"/>
    <col min="13319" max="13570" width="11.42578125" style="215"/>
    <col min="13571" max="13571" width="3.7109375" style="215" customWidth="1"/>
    <col min="13572" max="13572" width="92.140625" style="215" customWidth="1"/>
    <col min="13573" max="13574" width="11.85546875" style="215" bestFit="1" customWidth="1"/>
    <col min="13575" max="13826" width="11.42578125" style="215"/>
    <col min="13827" max="13827" width="3.7109375" style="215" customWidth="1"/>
    <col min="13828" max="13828" width="92.140625" style="215" customWidth="1"/>
    <col min="13829" max="13830" width="11.85546875" style="215" bestFit="1" customWidth="1"/>
    <col min="13831" max="14082" width="11.42578125" style="215"/>
    <col min="14083" max="14083" width="3.7109375" style="215" customWidth="1"/>
    <col min="14084" max="14084" width="92.140625" style="215" customWidth="1"/>
    <col min="14085" max="14086" width="11.85546875" style="215" bestFit="1" customWidth="1"/>
    <col min="14087" max="14338" width="11.42578125" style="215"/>
    <col min="14339" max="14339" width="3.7109375" style="215" customWidth="1"/>
    <col min="14340" max="14340" width="92.140625" style="215" customWidth="1"/>
    <col min="14341" max="14342" width="11.85546875" style="215" bestFit="1" customWidth="1"/>
    <col min="14343" max="14594" width="11.42578125" style="215"/>
    <col min="14595" max="14595" width="3.7109375" style="215" customWidth="1"/>
    <col min="14596" max="14596" width="92.140625" style="215" customWidth="1"/>
    <col min="14597" max="14598" width="11.85546875" style="215" bestFit="1" customWidth="1"/>
    <col min="14599" max="14850" width="11.42578125" style="215"/>
    <col min="14851" max="14851" width="3.7109375" style="215" customWidth="1"/>
    <col min="14852" max="14852" width="92.140625" style="215" customWidth="1"/>
    <col min="14853" max="14854" width="11.85546875" style="215" bestFit="1" customWidth="1"/>
    <col min="14855" max="15106" width="11.42578125" style="215"/>
    <col min="15107" max="15107" width="3.7109375" style="215" customWidth="1"/>
    <col min="15108" max="15108" width="92.140625" style="215" customWidth="1"/>
    <col min="15109" max="15110" width="11.85546875" style="215" bestFit="1" customWidth="1"/>
    <col min="15111" max="15362" width="11.42578125" style="215"/>
    <col min="15363" max="15363" width="3.7109375" style="215" customWidth="1"/>
    <col min="15364" max="15364" width="92.140625" style="215" customWidth="1"/>
    <col min="15365" max="15366" width="11.85546875" style="215" bestFit="1" customWidth="1"/>
    <col min="15367" max="15618" width="11.42578125" style="215"/>
    <col min="15619" max="15619" width="3.7109375" style="215" customWidth="1"/>
    <col min="15620" max="15620" width="92.140625" style="215" customWidth="1"/>
    <col min="15621" max="15622" width="11.85546875" style="215" bestFit="1" customWidth="1"/>
    <col min="15623" max="15874" width="11.42578125" style="215"/>
    <col min="15875" max="15875" width="3.7109375" style="215" customWidth="1"/>
    <col min="15876" max="15876" width="92.140625" style="215" customWidth="1"/>
    <col min="15877" max="15878" width="11.85546875" style="215" bestFit="1" customWidth="1"/>
    <col min="15879" max="16130" width="11.42578125" style="215"/>
    <col min="16131" max="16131" width="3.7109375" style="215" customWidth="1"/>
    <col min="16132" max="16132" width="92.140625" style="215" customWidth="1"/>
    <col min="16133" max="16134" width="11.85546875" style="215" bestFit="1" customWidth="1"/>
    <col min="16135" max="16384" width="11.42578125" style="215"/>
  </cols>
  <sheetData>
    <row r="2" spans="5:9" ht="15.75" thickBot="1"/>
    <row r="3" spans="5:9" ht="15.75" thickBot="1">
      <c r="E3" s="238"/>
      <c r="F3" s="239" t="s">
        <v>335</v>
      </c>
      <c r="G3" s="240" t="s">
        <v>336</v>
      </c>
    </row>
    <row r="4" spans="5:9">
      <c r="E4" s="241"/>
      <c r="F4" s="216" t="s">
        <v>113</v>
      </c>
      <c r="G4" s="242">
        <v>44927</v>
      </c>
    </row>
    <row r="5" spans="5:9">
      <c r="E5" s="243"/>
      <c r="F5" s="244"/>
      <c r="G5" s="245">
        <v>45290</v>
      </c>
    </row>
    <row r="6" spans="5:9">
      <c r="E6" s="246"/>
      <c r="F6" s="247" t="s">
        <v>337</v>
      </c>
      <c r="G6" s="248"/>
    </row>
    <row r="7" spans="5:9">
      <c r="E7" s="246"/>
      <c r="F7" s="249" t="s">
        <v>338</v>
      </c>
      <c r="G7" s="248"/>
    </row>
    <row r="8" spans="5:9">
      <c r="E8" s="250"/>
      <c r="F8" s="251" t="s">
        <v>339</v>
      </c>
      <c r="G8" s="252">
        <f>+'balance 2023 los andes antes im'!J79+'balance 2023 los andes antes im'!J80</f>
        <v>505000000</v>
      </c>
      <c r="H8" s="253"/>
    </row>
    <row r="9" spans="5:9">
      <c r="E9" s="250"/>
      <c r="F9" s="251" t="s">
        <v>340</v>
      </c>
      <c r="G9" s="252">
        <f>-'balance 2023 los andes antes im'!I52</f>
        <v>-250000000</v>
      </c>
      <c r="H9" s="253"/>
    </row>
    <row r="10" spans="5:9">
      <c r="E10" s="250"/>
      <c r="F10" s="254" t="s">
        <v>341</v>
      </c>
      <c r="G10" s="255">
        <f>+G8+G9</f>
        <v>255000000</v>
      </c>
      <c r="H10" s="253"/>
    </row>
    <row r="11" spans="5:9">
      <c r="E11" s="250"/>
      <c r="F11" s="251" t="s">
        <v>342</v>
      </c>
      <c r="G11" s="252">
        <f>+'balance 2023 los andes final '!J76+'balance 2023 los andes final '!J77+'balance 2023 los andes final '!J78</f>
        <v>23818520</v>
      </c>
      <c r="H11" s="253"/>
    </row>
    <row r="12" spans="5:9">
      <c r="E12" s="250"/>
      <c r="F12" s="251" t="s">
        <v>343</v>
      </c>
      <c r="G12" s="252"/>
      <c r="H12" s="253"/>
    </row>
    <row r="13" spans="5:9">
      <c r="E13" s="250"/>
      <c r="F13" s="251" t="s">
        <v>344</v>
      </c>
      <c r="G13" s="252">
        <f>-SUM('balance 2023 los andes antes im'!I53:I61,'balance 2023 los andes antes im'!I64:I69,'balance 2023 los andes antes im'!I74)-'balance 2023 los andes antes im'!I72-'balance 2023 los andes antes im'!I73</f>
        <v>-128266135.59944445</v>
      </c>
      <c r="H13" s="253"/>
    </row>
    <row r="14" spans="5:9">
      <c r="E14" s="250"/>
      <c r="F14" s="251" t="s">
        <v>345</v>
      </c>
      <c r="G14" s="252">
        <f>-'balance 2023 los andes final '!I70-'balance 2023 los andes final '!I71</f>
        <v>-17332212.442495923</v>
      </c>
      <c r="H14" s="253"/>
    </row>
    <row r="15" spans="5:9">
      <c r="E15" s="250"/>
      <c r="F15" s="256" t="s">
        <v>346</v>
      </c>
      <c r="G15" s="257">
        <f>SUM(G10:G14)</f>
        <v>133220171.95805962</v>
      </c>
      <c r="H15" s="253"/>
      <c r="I15" s="226"/>
    </row>
    <row r="16" spans="5:9">
      <c r="E16" s="250"/>
      <c r="F16" s="251" t="s">
        <v>347</v>
      </c>
      <c r="G16" s="252">
        <f>-'balance 2023 los andes final '!I61</f>
        <v>-19686911.411764707</v>
      </c>
      <c r="H16" s="253"/>
    </row>
    <row r="17" spans="5:10" ht="15.75" thickBot="1">
      <c r="E17" s="258"/>
      <c r="F17" s="259" t="s">
        <v>338</v>
      </c>
      <c r="G17" s="260">
        <f>+G15+G16</f>
        <v>113533260.54629491</v>
      </c>
      <c r="H17" s="253"/>
      <c r="I17" s="226"/>
      <c r="J17" s="226"/>
    </row>
    <row r="18" spans="5:10">
      <c r="G18" s="226"/>
      <c r="I18" s="226"/>
    </row>
    <row r="19" spans="5:10">
      <c r="G19" s="226"/>
    </row>
    <row r="20" spans="5:10">
      <c r="G20" s="226"/>
    </row>
    <row r="24" spans="5:10">
      <c r="G24" s="237"/>
    </row>
    <row r="25" spans="5:10">
      <c r="G25" s="237"/>
    </row>
    <row r="26" spans="5:10">
      <c r="G26" s="237"/>
    </row>
  </sheetData>
  <conditionalFormatting sqref="H8:H17 G8:G9">
    <cfRule type="expression" dxfId="0" priority="1" stopIfTrue="1">
      <formula>#REF!="totalizador"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7" zoomScale="118" zoomScaleNormal="118" workbookViewId="0">
      <selection activeCell="E31" sqref="E31"/>
    </sheetView>
  </sheetViews>
  <sheetFormatPr baseColWidth="10" defaultColWidth="13.140625" defaultRowHeight="15"/>
  <cols>
    <col min="1" max="1" width="50.5703125" style="261" customWidth="1"/>
    <col min="2" max="2" width="14.140625" style="261" customWidth="1"/>
    <col min="3" max="3" width="15.42578125" style="261" customWidth="1"/>
    <col min="4" max="4" width="13.140625" style="261"/>
    <col min="5" max="5" width="16" style="261" bestFit="1" customWidth="1"/>
    <col min="6" max="256" width="13.140625" style="261"/>
    <col min="257" max="257" width="65" style="261" customWidth="1"/>
    <col min="258" max="259" width="17.7109375" style="261" bestFit="1" customWidth="1"/>
    <col min="260" max="260" width="13.140625" style="261"/>
    <col min="261" max="261" width="16" style="261" bestFit="1" customWidth="1"/>
    <col min="262" max="512" width="13.140625" style="261"/>
    <col min="513" max="513" width="65" style="261" customWidth="1"/>
    <col min="514" max="515" width="17.7109375" style="261" bestFit="1" customWidth="1"/>
    <col min="516" max="516" width="13.140625" style="261"/>
    <col min="517" max="517" width="16" style="261" bestFit="1" customWidth="1"/>
    <col min="518" max="768" width="13.140625" style="261"/>
    <col min="769" max="769" width="65" style="261" customWidth="1"/>
    <col min="770" max="771" width="17.7109375" style="261" bestFit="1" customWidth="1"/>
    <col min="772" max="772" width="13.140625" style="261"/>
    <col min="773" max="773" width="16" style="261" bestFit="1" customWidth="1"/>
    <col min="774" max="1024" width="13.140625" style="261"/>
    <col min="1025" max="1025" width="65" style="261" customWidth="1"/>
    <col min="1026" max="1027" width="17.7109375" style="261" bestFit="1" customWidth="1"/>
    <col min="1028" max="1028" width="13.140625" style="261"/>
    <col min="1029" max="1029" width="16" style="261" bestFit="1" customWidth="1"/>
    <col min="1030" max="1280" width="13.140625" style="261"/>
    <col min="1281" max="1281" width="65" style="261" customWidth="1"/>
    <col min="1282" max="1283" width="17.7109375" style="261" bestFit="1" customWidth="1"/>
    <col min="1284" max="1284" width="13.140625" style="261"/>
    <col min="1285" max="1285" width="16" style="261" bestFit="1" customWidth="1"/>
    <col min="1286" max="1536" width="13.140625" style="261"/>
    <col min="1537" max="1537" width="65" style="261" customWidth="1"/>
    <col min="1538" max="1539" width="17.7109375" style="261" bestFit="1" customWidth="1"/>
    <col min="1540" max="1540" width="13.140625" style="261"/>
    <col min="1541" max="1541" width="16" style="261" bestFit="1" customWidth="1"/>
    <col min="1542" max="1792" width="13.140625" style="261"/>
    <col min="1793" max="1793" width="65" style="261" customWidth="1"/>
    <col min="1794" max="1795" width="17.7109375" style="261" bestFit="1" customWidth="1"/>
    <col min="1796" max="1796" width="13.140625" style="261"/>
    <col min="1797" max="1797" width="16" style="261" bestFit="1" customWidth="1"/>
    <col min="1798" max="2048" width="13.140625" style="261"/>
    <col min="2049" max="2049" width="65" style="261" customWidth="1"/>
    <col min="2050" max="2051" width="17.7109375" style="261" bestFit="1" customWidth="1"/>
    <col min="2052" max="2052" width="13.140625" style="261"/>
    <col min="2053" max="2053" width="16" style="261" bestFit="1" customWidth="1"/>
    <col min="2054" max="2304" width="13.140625" style="261"/>
    <col min="2305" max="2305" width="65" style="261" customWidth="1"/>
    <col min="2306" max="2307" width="17.7109375" style="261" bestFit="1" customWidth="1"/>
    <col min="2308" max="2308" width="13.140625" style="261"/>
    <col min="2309" max="2309" width="16" style="261" bestFit="1" customWidth="1"/>
    <col min="2310" max="2560" width="13.140625" style="261"/>
    <col min="2561" max="2561" width="65" style="261" customWidth="1"/>
    <col min="2562" max="2563" width="17.7109375" style="261" bestFit="1" customWidth="1"/>
    <col min="2564" max="2564" width="13.140625" style="261"/>
    <col min="2565" max="2565" width="16" style="261" bestFit="1" customWidth="1"/>
    <col min="2566" max="2816" width="13.140625" style="261"/>
    <col min="2817" max="2817" width="65" style="261" customWidth="1"/>
    <col min="2818" max="2819" width="17.7109375" style="261" bestFit="1" customWidth="1"/>
    <col min="2820" max="2820" width="13.140625" style="261"/>
    <col min="2821" max="2821" width="16" style="261" bestFit="1" customWidth="1"/>
    <col min="2822" max="3072" width="13.140625" style="261"/>
    <col min="3073" max="3073" width="65" style="261" customWidth="1"/>
    <col min="3074" max="3075" width="17.7109375" style="261" bestFit="1" customWidth="1"/>
    <col min="3076" max="3076" width="13.140625" style="261"/>
    <col min="3077" max="3077" width="16" style="261" bestFit="1" customWidth="1"/>
    <col min="3078" max="3328" width="13.140625" style="261"/>
    <col min="3329" max="3329" width="65" style="261" customWidth="1"/>
    <col min="3330" max="3331" width="17.7109375" style="261" bestFit="1" customWidth="1"/>
    <col min="3332" max="3332" width="13.140625" style="261"/>
    <col min="3333" max="3333" width="16" style="261" bestFit="1" customWidth="1"/>
    <col min="3334" max="3584" width="13.140625" style="261"/>
    <col min="3585" max="3585" width="65" style="261" customWidth="1"/>
    <col min="3586" max="3587" width="17.7109375" style="261" bestFit="1" customWidth="1"/>
    <col min="3588" max="3588" width="13.140625" style="261"/>
    <col min="3589" max="3589" width="16" style="261" bestFit="1" customWidth="1"/>
    <col min="3590" max="3840" width="13.140625" style="261"/>
    <col min="3841" max="3841" width="65" style="261" customWidth="1"/>
    <col min="3842" max="3843" width="17.7109375" style="261" bestFit="1" customWidth="1"/>
    <col min="3844" max="3844" width="13.140625" style="261"/>
    <col min="3845" max="3845" width="16" style="261" bestFit="1" customWidth="1"/>
    <col min="3846" max="4096" width="13.140625" style="261"/>
    <col min="4097" max="4097" width="65" style="261" customWidth="1"/>
    <col min="4098" max="4099" width="17.7109375" style="261" bestFit="1" customWidth="1"/>
    <col min="4100" max="4100" width="13.140625" style="261"/>
    <col min="4101" max="4101" width="16" style="261" bestFit="1" customWidth="1"/>
    <col min="4102" max="4352" width="13.140625" style="261"/>
    <col min="4353" max="4353" width="65" style="261" customWidth="1"/>
    <col min="4354" max="4355" width="17.7109375" style="261" bestFit="1" customWidth="1"/>
    <col min="4356" max="4356" width="13.140625" style="261"/>
    <col min="4357" max="4357" width="16" style="261" bestFit="1" customWidth="1"/>
    <col min="4358" max="4608" width="13.140625" style="261"/>
    <col min="4609" max="4609" width="65" style="261" customWidth="1"/>
    <col min="4610" max="4611" width="17.7109375" style="261" bestFit="1" customWidth="1"/>
    <col min="4612" max="4612" width="13.140625" style="261"/>
    <col min="4613" max="4613" width="16" style="261" bestFit="1" customWidth="1"/>
    <col min="4614" max="4864" width="13.140625" style="261"/>
    <col min="4865" max="4865" width="65" style="261" customWidth="1"/>
    <col min="4866" max="4867" width="17.7109375" style="261" bestFit="1" customWidth="1"/>
    <col min="4868" max="4868" width="13.140625" style="261"/>
    <col min="4869" max="4869" width="16" style="261" bestFit="1" customWidth="1"/>
    <col min="4870" max="5120" width="13.140625" style="261"/>
    <col min="5121" max="5121" width="65" style="261" customWidth="1"/>
    <col min="5122" max="5123" width="17.7109375" style="261" bestFit="1" customWidth="1"/>
    <col min="5124" max="5124" width="13.140625" style="261"/>
    <col min="5125" max="5125" width="16" style="261" bestFit="1" customWidth="1"/>
    <col min="5126" max="5376" width="13.140625" style="261"/>
    <col min="5377" max="5377" width="65" style="261" customWidth="1"/>
    <col min="5378" max="5379" width="17.7109375" style="261" bestFit="1" customWidth="1"/>
    <col min="5380" max="5380" width="13.140625" style="261"/>
    <col min="5381" max="5381" width="16" style="261" bestFit="1" customWidth="1"/>
    <col min="5382" max="5632" width="13.140625" style="261"/>
    <col min="5633" max="5633" width="65" style="261" customWidth="1"/>
    <col min="5634" max="5635" width="17.7109375" style="261" bestFit="1" customWidth="1"/>
    <col min="5636" max="5636" width="13.140625" style="261"/>
    <col min="5637" max="5637" width="16" style="261" bestFit="1" customWidth="1"/>
    <col min="5638" max="5888" width="13.140625" style="261"/>
    <col min="5889" max="5889" width="65" style="261" customWidth="1"/>
    <col min="5890" max="5891" width="17.7109375" style="261" bestFit="1" customWidth="1"/>
    <col min="5892" max="5892" width="13.140625" style="261"/>
    <col min="5893" max="5893" width="16" style="261" bestFit="1" customWidth="1"/>
    <col min="5894" max="6144" width="13.140625" style="261"/>
    <col min="6145" max="6145" width="65" style="261" customWidth="1"/>
    <col min="6146" max="6147" width="17.7109375" style="261" bestFit="1" customWidth="1"/>
    <col min="6148" max="6148" width="13.140625" style="261"/>
    <col min="6149" max="6149" width="16" style="261" bestFit="1" customWidth="1"/>
    <col min="6150" max="6400" width="13.140625" style="261"/>
    <col min="6401" max="6401" width="65" style="261" customWidth="1"/>
    <col min="6402" max="6403" width="17.7109375" style="261" bestFit="1" customWidth="1"/>
    <col min="6404" max="6404" width="13.140625" style="261"/>
    <col min="6405" max="6405" width="16" style="261" bestFit="1" customWidth="1"/>
    <col min="6406" max="6656" width="13.140625" style="261"/>
    <col min="6657" max="6657" width="65" style="261" customWidth="1"/>
    <col min="6658" max="6659" width="17.7109375" style="261" bestFit="1" customWidth="1"/>
    <col min="6660" max="6660" width="13.140625" style="261"/>
    <col min="6661" max="6661" width="16" style="261" bestFit="1" customWidth="1"/>
    <col min="6662" max="6912" width="13.140625" style="261"/>
    <col min="6913" max="6913" width="65" style="261" customWidth="1"/>
    <col min="6914" max="6915" width="17.7109375" style="261" bestFit="1" customWidth="1"/>
    <col min="6916" max="6916" width="13.140625" style="261"/>
    <col min="6917" max="6917" width="16" style="261" bestFit="1" customWidth="1"/>
    <col min="6918" max="7168" width="13.140625" style="261"/>
    <col min="7169" max="7169" width="65" style="261" customWidth="1"/>
    <col min="7170" max="7171" width="17.7109375" style="261" bestFit="1" customWidth="1"/>
    <col min="7172" max="7172" width="13.140625" style="261"/>
    <col min="7173" max="7173" width="16" style="261" bestFit="1" customWidth="1"/>
    <col min="7174" max="7424" width="13.140625" style="261"/>
    <col min="7425" max="7425" width="65" style="261" customWidth="1"/>
    <col min="7426" max="7427" width="17.7109375" style="261" bestFit="1" customWidth="1"/>
    <col min="7428" max="7428" width="13.140625" style="261"/>
    <col min="7429" max="7429" width="16" style="261" bestFit="1" customWidth="1"/>
    <col min="7430" max="7680" width="13.140625" style="261"/>
    <col min="7681" max="7681" width="65" style="261" customWidth="1"/>
    <col min="7682" max="7683" width="17.7109375" style="261" bestFit="1" customWidth="1"/>
    <col min="7684" max="7684" width="13.140625" style="261"/>
    <col min="7685" max="7685" width="16" style="261" bestFit="1" customWidth="1"/>
    <col min="7686" max="7936" width="13.140625" style="261"/>
    <col min="7937" max="7937" width="65" style="261" customWidth="1"/>
    <col min="7938" max="7939" width="17.7109375" style="261" bestFit="1" customWidth="1"/>
    <col min="7940" max="7940" width="13.140625" style="261"/>
    <col min="7941" max="7941" width="16" style="261" bestFit="1" customWidth="1"/>
    <col min="7942" max="8192" width="13.140625" style="261"/>
    <col min="8193" max="8193" width="65" style="261" customWidth="1"/>
    <col min="8194" max="8195" width="17.7109375" style="261" bestFit="1" customWidth="1"/>
    <col min="8196" max="8196" width="13.140625" style="261"/>
    <col min="8197" max="8197" width="16" style="261" bestFit="1" customWidth="1"/>
    <col min="8198" max="8448" width="13.140625" style="261"/>
    <col min="8449" max="8449" width="65" style="261" customWidth="1"/>
    <col min="8450" max="8451" width="17.7109375" style="261" bestFit="1" customWidth="1"/>
    <col min="8452" max="8452" width="13.140625" style="261"/>
    <col min="8453" max="8453" width="16" style="261" bestFit="1" customWidth="1"/>
    <col min="8454" max="8704" width="13.140625" style="261"/>
    <col min="8705" max="8705" width="65" style="261" customWidth="1"/>
    <col min="8706" max="8707" width="17.7109375" style="261" bestFit="1" customWidth="1"/>
    <col min="8708" max="8708" width="13.140625" style="261"/>
    <col min="8709" max="8709" width="16" style="261" bestFit="1" customWidth="1"/>
    <col min="8710" max="8960" width="13.140625" style="261"/>
    <col min="8961" max="8961" width="65" style="261" customWidth="1"/>
    <col min="8962" max="8963" width="17.7109375" style="261" bestFit="1" customWidth="1"/>
    <col min="8964" max="8964" width="13.140625" style="261"/>
    <col min="8965" max="8965" width="16" style="261" bestFit="1" customWidth="1"/>
    <col min="8966" max="9216" width="13.140625" style="261"/>
    <col min="9217" max="9217" width="65" style="261" customWidth="1"/>
    <col min="9218" max="9219" width="17.7109375" style="261" bestFit="1" customWidth="1"/>
    <col min="9220" max="9220" width="13.140625" style="261"/>
    <col min="9221" max="9221" width="16" style="261" bestFit="1" customWidth="1"/>
    <col min="9222" max="9472" width="13.140625" style="261"/>
    <col min="9473" max="9473" width="65" style="261" customWidth="1"/>
    <col min="9474" max="9475" width="17.7109375" style="261" bestFit="1" customWidth="1"/>
    <col min="9476" max="9476" width="13.140625" style="261"/>
    <col min="9477" max="9477" width="16" style="261" bestFit="1" customWidth="1"/>
    <col min="9478" max="9728" width="13.140625" style="261"/>
    <col min="9729" max="9729" width="65" style="261" customWidth="1"/>
    <col min="9730" max="9731" width="17.7109375" style="261" bestFit="1" customWidth="1"/>
    <col min="9732" max="9732" width="13.140625" style="261"/>
    <col min="9733" max="9733" width="16" style="261" bestFit="1" customWidth="1"/>
    <col min="9734" max="9984" width="13.140625" style="261"/>
    <col min="9985" max="9985" width="65" style="261" customWidth="1"/>
    <col min="9986" max="9987" width="17.7109375" style="261" bestFit="1" customWidth="1"/>
    <col min="9988" max="9988" width="13.140625" style="261"/>
    <col min="9989" max="9989" width="16" style="261" bestFit="1" customWidth="1"/>
    <col min="9990" max="10240" width="13.140625" style="261"/>
    <col min="10241" max="10241" width="65" style="261" customWidth="1"/>
    <col min="10242" max="10243" width="17.7109375" style="261" bestFit="1" customWidth="1"/>
    <col min="10244" max="10244" width="13.140625" style="261"/>
    <col min="10245" max="10245" width="16" style="261" bestFit="1" customWidth="1"/>
    <col min="10246" max="10496" width="13.140625" style="261"/>
    <col min="10497" max="10497" width="65" style="261" customWidth="1"/>
    <col min="10498" max="10499" width="17.7109375" style="261" bestFit="1" customWidth="1"/>
    <col min="10500" max="10500" width="13.140625" style="261"/>
    <col min="10501" max="10501" width="16" style="261" bestFit="1" customWidth="1"/>
    <col min="10502" max="10752" width="13.140625" style="261"/>
    <col min="10753" max="10753" width="65" style="261" customWidth="1"/>
    <col min="10754" max="10755" width="17.7109375" style="261" bestFit="1" customWidth="1"/>
    <col min="10756" max="10756" width="13.140625" style="261"/>
    <col min="10757" max="10757" width="16" style="261" bestFit="1" customWidth="1"/>
    <col min="10758" max="11008" width="13.140625" style="261"/>
    <col min="11009" max="11009" width="65" style="261" customWidth="1"/>
    <col min="11010" max="11011" width="17.7109375" style="261" bestFit="1" customWidth="1"/>
    <col min="11012" max="11012" width="13.140625" style="261"/>
    <col min="11013" max="11013" width="16" style="261" bestFit="1" customWidth="1"/>
    <col min="11014" max="11264" width="13.140625" style="261"/>
    <col min="11265" max="11265" width="65" style="261" customWidth="1"/>
    <col min="11266" max="11267" width="17.7109375" style="261" bestFit="1" customWidth="1"/>
    <col min="11268" max="11268" width="13.140625" style="261"/>
    <col min="11269" max="11269" width="16" style="261" bestFit="1" customWidth="1"/>
    <col min="11270" max="11520" width="13.140625" style="261"/>
    <col min="11521" max="11521" width="65" style="261" customWidth="1"/>
    <col min="11522" max="11523" width="17.7109375" style="261" bestFit="1" customWidth="1"/>
    <col min="11524" max="11524" width="13.140625" style="261"/>
    <col min="11525" max="11525" width="16" style="261" bestFit="1" customWidth="1"/>
    <col min="11526" max="11776" width="13.140625" style="261"/>
    <col min="11777" max="11777" width="65" style="261" customWidth="1"/>
    <col min="11778" max="11779" width="17.7109375" style="261" bestFit="1" customWidth="1"/>
    <col min="11780" max="11780" width="13.140625" style="261"/>
    <col min="11781" max="11781" width="16" style="261" bestFit="1" customWidth="1"/>
    <col min="11782" max="12032" width="13.140625" style="261"/>
    <col min="12033" max="12033" width="65" style="261" customWidth="1"/>
    <col min="12034" max="12035" width="17.7109375" style="261" bestFit="1" customWidth="1"/>
    <col min="12036" max="12036" width="13.140625" style="261"/>
    <col min="12037" max="12037" width="16" style="261" bestFit="1" customWidth="1"/>
    <col min="12038" max="12288" width="13.140625" style="261"/>
    <col min="12289" max="12289" width="65" style="261" customWidth="1"/>
    <col min="12290" max="12291" width="17.7109375" style="261" bestFit="1" customWidth="1"/>
    <col min="12292" max="12292" width="13.140625" style="261"/>
    <col min="12293" max="12293" width="16" style="261" bestFit="1" customWidth="1"/>
    <col min="12294" max="12544" width="13.140625" style="261"/>
    <col min="12545" max="12545" width="65" style="261" customWidth="1"/>
    <col min="12546" max="12547" width="17.7109375" style="261" bestFit="1" customWidth="1"/>
    <col min="12548" max="12548" width="13.140625" style="261"/>
    <col min="12549" max="12549" width="16" style="261" bestFit="1" customWidth="1"/>
    <col min="12550" max="12800" width="13.140625" style="261"/>
    <col min="12801" max="12801" width="65" style="261" customWidth="1"/>
    <col min="12802" max="12803" width="17.7109375" style="261" bestFit="1" customWidth="1"/>
    <col min="12804" max="12804" width="13.140625" style="261"/>
    <col min="12805" max="12805" width="16" style="261" bestFit="1" customWidth="1"/>
    <col min="12806" max="13056" width="13.140625" style="261"/>
    <col min="13057" max="13057" width="65" style="261" customWidth="1"/>
    <col min="13058" max="13059" width="17.7109375" style="261" bestFit="1" customWidth="1"/>
    <col min="13060" max="13060" width="13.140625" style="261"/>
    <col min="13061" max="13061" width="16" style="261" bestFit="1" customWidth="1"/>
    <col min="13062" max="13312" width="13.140625" style="261"/>
    <col min="13313" max="13313" width="65" style="261" customWidth="1"/>
    <col min="13314" max="13315" width="17.7109375" style="261" bestFit="1" customWidth="1"/>
    <col min="13316" max="13316" width="13.140625" style="261"/>
    <col min="13317" max="13317" width="16" style="261" bestFit="1" customWidth="1"/>
    <col min="13318" max="13568" width="13.140625" style="261"/>
    <col min="13569" max="13569" width="65" style="261" customWidth="1"/>
    <col min="13570" max="13571" width="17.7109375" style="261" bestFit="1" customWidth="1"/>
    <col min="13572" max="13572" width="13.140625" style="261"/>
    <col min="13573" max="13573" width="16" style="261" bestFit="1" customWidth="1"/>
    <col min="13574" max="13824" width="13.140625" style="261"/>
    <col min="13825" max="13825" width="65" style="261" customWidth="1"/>
    <col min="13826" max="13827" width="17.7109375" style="261" bestFit="1" customWidth="1"/>
    <col min="13828" max="13828" width="13.140625" style="261"/>
    <col min="13829" max="13829" width="16" style="261" bestFit="1" customWidth="1"/>
    <col min="13830" max="14080" width="13.140625" style="261"/>
    <col min="14081" max="14081" width="65" style="261" customWidth="1"/>
    <col min="14082" max="14083" width="17.7109375" style="261" bestFit="1" customWidth="1"/>
    <col min="14084" max="14084" width="13.140625" style="261"/>
    <col min="14085" max="14085" width="16" style="261" bestFit="1" customWidth="1"/>
    <col min="14086" max="14336" width="13.140625" style="261"/>
    <col min="14337" max="14337" width="65" style="261" customWidth="1"/>
    <col min="14338" max="14339" width="17.7109375" style="261" bestFit="1" customWidth="1"/>
    <col min="14340" max="14340" width="13.140625" style="261"/>
    <col min="14341" max="14341" width="16" style="261" bestFit="1" customWidth="1"/>
    <col min="14342" max="14592" width="13.140625" style="261"/>
    <col min="14593" max="14593" width="65" style="261" customWidth="1"/>
    <col min="14594" max="14595" width="17.7109375" style="261" bestFit="1" customWidth="1"/>
    <col min="14596" max="14596" width="13.140625" style="261"/>
    <col min="14597" max="14597" width="16" style="261" bestFit="1" customWidth="1"/>
    <col min="14598" max="14848" width="13.140625" style="261"/>
    <col min="14849" max="14849" width="65" style="261" customWidth="1"/>
    <col min="14850" max="14851" width="17.7109375" style="261" bestFit="1" customWidth="1"/>
    <col min="14852" max="14852" width="13.140625" style="261"/>
    <col min="14853" max="14853" width="16" style="261" bestFit="1" customWidth="1"/>
    <col min="14854" max="15104" width="13.140625" style="261"/>
    <col min="15105" max="15105" width="65" style="261" customWidth="1"/>
    <col min="15106" max="15107" width="17.7109375" style="261" bestFit="1" customWidth="1"/>
    <col min="15108" max="15108" width="13.140625" style="261"/>
    <col min="15109" max="15109" width="16" style="261" bestFit="1" customWidth="1"/>
    <col min="15110" max="15360" width="13.140625" style="261"/>
    <col min="15361" max="15361" width="65" style="261" customWidth="1"/>
    <col min="15362" max="15363" width="17.7109375" style="261" bestFit="1" customWidth="1"/>
    <col min="15364" max="15364" width="13.140625" style="261"/>
    <col min="15365" max="15365" width="16" style="261" bestFit="1" customWidth="1"/>
    <col min="15366" max="15616" width="13.140625" style="261"/>
    <col min="15617" max="15617" width="65" style="261" customWidth="1"/>
    <col min="15618" max="15619" width="17.7109375" style="261" bestFit="1" customWidth="1"/>
    <col min="15620" max="15620" width="13.140625" style="261"/>
    <col min="15621" max="15621" width="16" style="261" bestFit="1" customWidth="1"/>
    <col min="15622" max="15872" width="13.140625" style="261"/>
    <col min="15873" max="15873" width="65" style="261" customWidth="1"/>
    <col min="15874" max="15875" width="17.7109375" style="261" bestFit="1" customWidth="1"/>
    <col min="15876" max="15876" width="13.140625" style="261"/>
    <col min="15877" max="15877" width="16" style="261" bestFit="1" customWidth="1"/>
    <col min="15878" max="16128" width="13.140625" style="261"/>
    <col min="16129" max="16129" width="65" style="261" customWidth="1"/>
    <col min="16130" max="16131" width="17.7109375" style="261" bestFit="1" customWidth="1"/>
    <col min="16132" max="16132" width="13.140625" style="261"/>
    <col min="16133" max="16133" width="16" style="261" bestFit="1" customWidth="1"/>
    <col min="16134" max="16384" width="13.140625" style="261"/>
  </cols>
  <sheetData>
    <row r="1" spans="1:5" ht="15.75" thickBot="1">
      <c r="A1" s="272" t="s">
        <v>401</v>
      </c>
      <c r="B1" s="240"/>
      <c r="C1" s="240" t="s">
        <v>336</v>
      </c>
    </row>
    <row r="2" spans="1:5">
      <c r="A2" s="216" t="s">
        <v>113</v>
      </c>
      <c r="B2" s="242"/>
      <c r="C2" s="242">
        <v>44927</v>
      </c>
    </row>
    <row r="3" spans="1:5">
      <c r="A3" s="273"/>
      <c r="B3" s="245"/>
      <c r="C3" s="245">
        <v>45290</v>
      </c>
    </row>
    <row r="4" spans="1:5">
      <c r="A4" s="249" t="s">
        <v>348</v>
      </c>
      <c r="B4" s="257"/>
      <c r="C4" s="255">
        <f>SUM(B5:B20)</f>
        <v>159278538</v>
      </c>
      <c r="E4" s="263"/>
    </row>
    <row r="5" spans="1:5">
      <c r="A5" s="251" t="s">
        <v>387</v>
      </c>
      <c r="B5" s="225">
        <f>+'cuentas T 2023'!B23+'cuentas T 2023'!B27+'cuentas T 2023'!B41</f>
        <v>558400000</v>
      </c>
      <c r="C5" s="262"/>
      <c r="E5" s="263"/>
    </row>
    <row r="6" spans="1:5">
      <c r="A6" s="251" t="s">
        <v>388</v>
      </c>
      <c r="B6" s="225">
        <f>+'cuentas T 2023'!B35</f>
        <v>1190000</v>
      </c>
      <c r="C6" s="262"/>
      <c r="E6" s="263"/>
    </row>
    <row r="7" spans="1:5">
      <c r="A7" s="251" t="s">
        <v>386</v>
      </c>
      <c r="B7" s="225">
        <f>+'cuentas T 2023'!B7</f>
        <v>5000000</v>
      </c>
      <c r="C7" s="262"/>
      <c r="E7" s="263"/>
    </row>
    <row r="8" spans="1:5">
      <c r="A8" s="251" t="s">
        <v>400</v>
      </c>
      <c r="B8" s="225">
        <f>+'cuentas T 2023'!B32</f>
        <v>55200000</v>
      </c>
      <c r="C8" s="262"/>
      <c r="E8" s="263"/>
    </row>
    <row r="9" spans="1:5">
      <c r="A9" s="251" t="s">
        <v>673</v>
      </c>
      <c r="B9" s="225">
        <f>+'cuentas T 2023'!B4</f>
        <v>10236720</v>
      </c>
      <c r="C9" s="262"/>
      <c r="E9" s="263"/>
    </row>
    <row r="10" spans="1:5">
      <c r="A10" s="251" t="s">
        <v>688</v>
      </c>
      <c r="B10" s="225">
        <f>-'cuentas T 2023'!C38-'cuentas T 2023'!C42</f>
        <v>-262410000</v>
      </c>
      <c r="C10" s="262"/>
      <c r="E10" s="263"/>
    </row>
    <row r="11" spans="1:5">
      <c r="A11" s="251" t="s">
        <v>674</v>
      </c>
      <c r="B11" s="225">
        <f>-'cuentas T 2023'!C21-'cuentas T 2023'!C24-'cuentas T 2023'!C9</f>
        <v>-106247000</v>
      </c>
      <c r="C11" s="262"/>
      <c r="E11" s="263"/>
    </row>
    <row r="12" spans="1:5">
      <c r="A12" s="251" t="s">
        <v>376</v>
      </c>
      <c r="B12" s="225">
        <f>-'cuentas T 2023'!C5</f>
        <v>-4284000</v>
      </c>
      <c r="C12" s="262"/>
      <c r="E12" s="263"/>
    </row>
    <row r="13" spans="1:5">
      <c r="A13" s="251" t="s">
        <v>390</v>
      </c>
      <c r="B13" s="225">
        <f>-'cuentas T 2023'!C28</f>
        <v>-1982750</v>
      </c>
      <c r="C13" s="262"/>
      <c r="E13" s="263"/>
    </row>
    <row r="14" spans="1:5">
      <c r="A14" s="251" t="s">
        <v>395</v>
      </c>
      <c r="B14" s="225">
        <f>-'cuentas T 2023'!C31</f>
        <v>-12000000</v>
      </c>
      <c r="C14" s="262"/>
      <c r="E14" s="263"/>
    </row>
    <row r="15" spans="1:5">
      <c r="A15" s="251" t="s">
        <v>391</v>
      </c>
      <c r="B15" s="225">
        <f>-'cuentas T 2023'!C6</f>
        <v>-333200</v>
      </c>
      <c r="C15" s="262"/>
      <c r="E15" s="263"/>
    </row>
    <row r="16" spans="1:5">
      <c r="A16" s="251" t="s">
        <v>349</v>
      </c>
      <c r="B16" s="225">
        <f>-'cuentas T 2023'!C33</f>
        <v>-28090800</v>
      </c>
      <c r="C16" s="262"/>
      <c r="E16" s="263"/>
    </row>
    <row r="17" spans="1:5">
      <c r="A17" s="251" t="s">
        <v>366</v>
      </c>
      <c r="B17" s="225">
        <f>-'cuentas T 2023'!C22-'cuentas T 2023'!C34</f>
        <v>-6960432</v>
      </c>
      <c r="C17" s="262"/>
      <c r="E17" s="263"/>
    </row>
    <row r="18" spans="1:5">
      <c r="A18" s="251" t="s">
        <v>383</v>
      </c>
      <c r="B18" s="225">
        <f>-'cuentas T 2023'!C39</f>
        <v>-1190000</v>
      </c>
      <c r="C18" s="262"/>
      <c r="E18" s="263"/>
    </row>
    <row r="19" spans="1:5">
      <c r="A19" s="251" t="s">
        <v>394</v>
      </c>
      <c r="B19" s="225">
        <f>-'cuentas T 2023'!C25</f>
        <v>-41650000</v>
      </c>
      <c r="C19" s="262"/>
      <c r="E19" s="263"/>
    </row>
    <row r="20" spans="1:5">
      <c r="A20" s="251" t="s">
        <v>350</v>
      </c>
      <c r="B20" s="225">
        <f>-'cuentas T 2023'!C37</f>
        <v>-5600000</v>
      </c>
      <c r="C20" s="262"/>
    </row>
    <row r="21" spans="1:5" ht="21">
      <c r="A21" s="249" t="s">
        <v>351</v>
      </c>
      <c r="B21" s="257" t="s">
        <v>352</v>
      </c>
      <c r="C21" s="255">
        <f>SUM(B22:B25)</f>
        <v>-61400000</v>
      </c>
    </row>
    <row r="22" spans="1:5">
      <c r="A22" s="251" t="s">
        <v>353</v>
      </c>
      <c r="B22" s="225"/>
      <c r="C22" s="262"/>
    </row>
    <row r="23" spans="1:5">
      <c r="A23" s="251" t="s">
        <v>397</v>
      </c>
      <c r="B23" s="225">
        <f>+'cuentas T 2023'!B44</f>
        <v>60000000</v>
      </c>
      <c r="C23" s="262"/>
    </row>
    <row r="24" spans="1:5">
      <c r="A24" s="251" t="s">
        <v>398</v>
      </c>
      <c r="B24" s="225">
        <f>-'cuentas T 2023'!C43</f>
        <v>-100000000</v>
      </c>
      <c r="C24" s="262"/>
    </row>
    <row r="25" spans="1:5">
      <c r="A25" s="251" t="s">
        <v>354</v>
      </c>
      <c r="B25" s="225">
        <f>-'cuentas T 2023'!C36</f>
        <v>-21400000</v>
      </c>
      <c r="C25" s="262"/>
    </row>
    <row r="26" spans="1:5">
      <c r="A26" s="249" t="s">
        <v>355</v>
      </c>
      <c r="B26" s="257"/>
      <c r="C26" s="255">
        <f>SUM(B27:B31)</f>
        <v>-4820081</v>
      </c>
    </row>
    <row r="27" spans="1:5">
      <c r="A27" s="251" t="s">
        <v>392</v>
      </c>
      <c r="B27" s="225">
        <f>-'cuentas T 2023'!C20</f>
        <v>-6902000</v>
      </c>
      <c r="C27" s="262"/>
    </row>
    <row r="28" spans="1:5">
      <c r="A28" s="251" t="s">
        <v>393</v>
      </c>
      <c r="B28" s="225">
        <f>-'cuentas T 2023'!C26</f>
        <v>-26180000</v>
      </c>
      <c r="C28" s="262"/>
    </row>
    <row r="29" spans="1:5">
      <c r="A29" s="251" t="s">
        <v>389</v>
      </c>
      <c r="B29" s="225">
        <f>+'cuentas T 2023'!B29</f>
        <v>21420000</v>
      </c>
      <c r="C29" s="262"/>
    </row>
    <row r="30" spans="1:5">
      <c r="A30" s="251" t="s">
        <v>399</v>
      </c>
      <c r="B30" s="225">
        <f>+'cuentas T 2023'!B8</f>
        <v>18841919</v>
      </c>
      <c r="C30" s="262"/>
    </row>
    <row r="31" spans="1:5">
      <c r="A31" s="251" t="s">
        <v>402</v>
      </c>
      <c r="B31" s="225">
        <f>-'cuentas T 2023'!C40</f>
        <v>-12000000</v>
      </c>
      <c r="C31" s="262"/>
    </row>
    <row r="32" spans="1:5">
      <c r="A32" s="249" t="s">
        <v>356</v>
      </c>
      <c r="B32" s="257"/>
      <c r="C32" s="255">
        <f>+C4+C21+C26</f>
        <v>93058457</v>
      </c>
    </row>
    <row r="33" spans="1:3" ht="15.75">
      <c r="A33" s="264"/>
      <c r="B33" s="262"/>
      <c r="C33" s="262"/>
    </row>
    <row r="34" spans="1:3" ht="21">
      <c r="A34" s="249" t="s">
        <v>357</v>
      </c>
      <c r="B34" s="262"/>
      <c r="C34" s="255">
        <f>+'cuentas T 2023'!B3+'cuentas T 2023'!B19</f>
        <v>59844800</v>
      </c>
    </row>
    <row r="35" spans="1:3">
      <c r="A35" s="249" t="s">
        <v>358</v>
      </c>
      <c r="B35" s="262"/>
      <c r="C35" s="255">
        <f>+'cuentas T 2023'!C15+'cuentas T 2023'!C47+'cuentas T 2023'!J11</f>
        <v>152903257</v>
      </c>
    </row>
    <row r="36" spans="1:3">
      <c r="A36" s="249" t="s">
        <v>221</v>
      </c>
      <c r="B36" s="262"/>
      <c r="C36" s="255">
        <f>+C35-C34</f>
        <v>93058457</v>
      </c>
    </row>
    <row r="37" spans="1:3">
      <c r="B37" s="262"/>
      <c r="C37" s="262"/>
    </row>
    <row r="38" spans="1:3">
      <c r="B38" s="262"/>
      <c r="C38" s="262"/>
    </row>
    <row r="39" spans="1:3">
      <c r="B39" s="262"/>
      <c r="C39" s="262"/>
    </row>
    <row r="40" spans="1:3">
      <c r="B40" s="262"/>
      <c r="C40" s="262"/>
    </row>
  </sheetData>
  <pageMargins left="0.7" right="0.7" top="0.75" bottom="0.75" header="0.3" footer="0.3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Q35" sqref="Q35"/>
    </sheetView>
  </sheetViews>
  <sheetFormatPr baseColWidth="10" defaultRowHeight="15"/>
  <cols>
    <col min="1" max="1" width="40" customWidth="1"/>
    <col min="5" max="5" width="25.28515625" customWidth="1"/>
    <col min="6" max="6" width="14.7109375" bestFit="1" customWidth="1"/>
    <col min="8" max="8" width="15.5703125" bestFit="1" customWidth="1"/>
    <col min="11" max="11" width="14.7109375" bestFit="1" customWidth="1"/>
    <col min="16" max="18" width="14.7109375" bestFit="1" customWidth="1"/>
  </cols>
  <sheetData>
    <row r="1" spans="1:18" ht="15.75" thickBot="1">
      <c r="A1" s="593" t="s">
        <v>716</v>
      </c>
      <c r="B1" s="593"/>
      <c r="C1" s="593"/>
      <c r="D1" s="593"/>
      <c r="E1" s="217" t="s">
        <v>717</v>
      </c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</row>
    <row r="2" spans="1:18">
      <c r="A2" s="216" t="s">
        <v>113</v>
      </c>
      <c r="B2" s="593"/>
      <c r="C2" s="593"/>
      <c r="D2" s="593"/>
      <c r="E2" s="593"/>
      <c r="F2" s="594"/>
      <c r="G2" s="594"/>
      <c r="H2" s="594"/>
      <c r="I2" s="594"/>
      <c r="J2" s="623"/>
      <c r="K2" s="624"/>
      <c r="L2" s="624"/>
      <c r="M2" s="624"/>
      <c r="N2" s="624"/>
      <c r="O2" s="624"/>
      <c r="P2" s="631"/>
      <c r="Q2" s="594"/>
      <c r="R2" s="594"/>
    </row>
    <row r="3" spans="1:18" ht="106.5">
      <c r="A3" s="595"/>
      <c r="B3" s="596"/>
      <c r="C3" s="596"/>
      <c r="D3" s="596"/>
      <c r="E3" s="597"/>
      <c r="F3" s="598" t="s">
        <v>333</v>
      </c>
      <c r="G3" s="598" t="s">
        <v>691</v>
      </c>
      <c r="H3" s="598" t="s">
        <v>360</v>
      </c>
      <c r="I3" s="599" t="s">
        <v>692</v>
      </c>
      <c r="J3" s="625" t="s">
        <v>693</v>
      </c>
      <c r="K3" s="598" t="s">
        <v>714</v>
      </c>
      <c r="L3" s="598" t="s">
        <v>694</v>
      </c>
      <c r="M3" s="598" t="s">
        <v>695</v>
      </c>
      <c r="N3" s="598" t="s">
        <v>696</v>
      </c>
      <c r="O3" s="599" t="s">
        <v>697</v>
      </c>
      <c r="P3" s="632" t="s">
        <v>361</v>
      </c>
      <c r="Q3" s="617" t="s">
        <v>334</v>
      </c>
      <c r="R3" s="598" t="s">
        <v>553</v>
      </c>
    </row>
    <row r="4" spans="1:18">
      <c r="A4" s="853" t="s">
        <v>713</v>
      </c>
      <c r="B4" s="854"/>
      <c r="C4" s="854"/>
      <c r="D4" s="854"/>
      <c r="E4" s="854"/>
      <c r="F4" s="604">
        <f>+'balance 2022 final los andes '!H45</f>
        <v>200000000</v>
      </c>
      <c r="G4" s="600">
        <v>0</v>
      </c>
      <c r="H4" s="604">
        <f>-'balance 2022 final los andes '!G46-'balance 2022 final los andes '!G47</f>
        <v>-100000000</v>
      </c>
      <c r="I4" s="611">
        <v>0</v>
      </c>
      <c r="J4" s="626"/>
      <c r="K4" s="604">
        <f>+'balance 2022 final los andes '!H48</f>
        <v>112500000</v>
      </c>
      <c r="L4" s="600"/>
      <c r="M4" s="600">
        <v>0</v>
      </c>
      <c r="N4" s="600"/>
      <c r="O4" s="611">
        <v>0</v>
      </c>
      <c r="P4" s="633">
        <f>SUM(J4:O4)</f>
        <v>112500000</v>
      </c>
      <c r="Q4" s="618">
        <f>+'balance 2022 final los andes '!H76-'balance 2022 final los andes '!G49</f>
        <v>548166833.33333337</v>
      </c>
      <c r="R4" s="604">
        <f>+F4+G4+H4+I4+P4+Q4</f>
        <v>760666833.33333337</v>
      </c>
    </row>
    <row r="5" spans="1:18">
      <c r="A5" s="855" t="s">
        <v>698</v>
      </c>
      <c r="B5" s="856"/>
      <c r="C5" s="856"/>
      <c r="D5" s="856"/>
      <c r="E5" s="856"/>
      <c r="F5" s="600"/>
      <c r="G5" s="600"/>
      <c r="H5" s="600"/>
      <c r="I5" s="611"/>
      <c r="J5" s="626"/>
      <c r="K5" s="600"/>
      <c r="L5" s="600"/>
      <c r="M5" s="600"/>
      <c r="N5" s="600"/>
      <c r="O5" s="611"/>
      <c r="P5" s="634">
        <f>SUM(J5:O5)</f>
        <v>0</v>
      </c>
      <c r="Q5" s="619"/>
      <c r="R5" s="604">
        <f t="shared" ref="R5:R6" si="0">+F5+G5+H5+I5+P5+Q5</f>
        <v>0</v>
      </c>
    </row>
    <row r="6" spans="1:18" ht="15.75" thickBot="1">
      <c r="A6" s="855" t="s">
        <v>699</v>
      </c>
      <c r="B6" s="856"/>
      <c r="C6" s="856"/>
      <c r="D6" s="856"/>
      <c r="E6" s="856"/>
      <c r="F6" s="605"/>
      <c r="G6" s="605"/>
      <c r="H6" s="605"/>
      <c r="I6" s="612"/>
      <c r="J6" s="627"/>
      <c r="K6" s="605"/>
      <c r="L6" s="605"/>
      <c r="M6" s="605"/>
      <c r="N6" s="605"/>
      <c r="O6" s="612"/>
      <c r="P6" s="635">
        <f>SUM(J6:O6)</f>
        <v>0</v>
      </c>
      <c r="Q6" s="620"/>
      <c r="R6" s="604">
        <f t="shared" si="0"/>
        <v>0</v>
      </c>
    </row>
    <row r="7" spans="1:18" ht="15.75" thickBot="1">
      <c r="A7" s="855" t="s">
        <v>700</v>
      </c>
      <c r="B7" s="857"/>
      <c r="C7" s="857"/>
      <c r="D7" s="857"/>
      <c r="E7" s="858"/>
      <c r="F7" s="606">
        <f t="shared" ref="F7:Q7" si="1">SUM(F4:F6)</f>
        <v>200000000</v>
      </c>
      <c r="G7" s="607">
        <f t="shared" si="1"/>
        <v>0</v>
      </c>
      <c r="H7" s="608">
        <f>SUM(H4:H6)</f>
        <v>-100000000</v>
      </c>
      <c r="I7" s="613">
        <f t="shared" ref="I7:P7" si="2">SUM(I4:I6)</f>
        <v>0</v>
      </c>
      <c r="J7" s="606">
        <f t="shared" si="2"/>
        <v>0</v>
      </c>
      <c r="K7" s="608">
        <f t="shared" si="2"/>
        <v>112500000</v>
      </c>
      <c r="L7" s="608">
        <f t="shared" si="2"/>
        <v>0</v>
      </c>
      <c r="M7" s="608">
        <f t="shared" si="2"/>
        <v>0</v>
      </c>
      <c r="N7" s="608">
        <f t="shared" si="2"/>
        <v>0</v>
      </c>
      <c r="O7" s="613">
        <f t="shared" si="2"/>
        <v>0</v>
      </c>
      <c r="P7" s="629">
        <f t="shared" si="2"/>
        <v>112500000</v>
      </c>
      <c r="Q7" s="621">
        <f t="shared" si="1"/>
        <v>548166833.33333337</v>
      </c>
      <c r="R7" s="609">
        <f>+R4+R5+R6</f>
        <v>760666833.33333337</v>
      </c>
    </row>
    <row r="8" spans="1:18">
      <c r="A8" s="859" t="s">
        <v>701</v>
      </c>
      <c r="B8" s="856"/>
      <c r="C8" s="856"/>
      <c r="D8" s="856"/>
      <c r="E8" s="856"/>
      <c r="F8" s="604"/>
      <c r="G8" s="604"/>
      <c r="H8" s="604"/>
      <c r="I8" s="614"/>
      <c r="J8" s="628"/>
      <c r="K8" s="604"/>
      <c r="L8" s="604"/>
      <c r="M8" s="604"/>
      <c r="N8" s="604"/>
      <c r="O8" s="614"/>
      <c r="P8" s="633"/>
      <c r="Q8" s="618"/>
      <c r="R8" s="604"/>
    </row>
    <row r="9" spans="1:18">
      <c r="A9" s="601"/>
      <c r="B9" s="850" t="s">
        <v>702</v>
      </c>
      <c r="C9" s="851"/>
      <c r="D9" s="851"/>
      <c r="E9" s="852"/>
      <c r="F9" s="604"/>
      <c r="G9" s="604"/>
      <c r="H9" s="604"/>
      <c r="I9" s="614"/>
      <c r="J9" s="628"/>
      <c r="K9" s="604"/>
      <c r="L9" s="604"/>
      <c r="M9" s="604"/>
      <c r="N9" s="604"/>
      <c r="O9" s="614"/>
      <c r="P9" s="633"/>
      <c r="Q9" s="618"/>
      <c r="R9" s="604"/>
    </row>
    <row r="10" spans="1:18">
      <c r="A10" s="601"/>
      <c r="B10" s="602"/>
      <c r="C10" s="859" t="s">
        <v>338</v>
      </c>
      <c r="D10" s="856"/>
      <c r="E10" s="856"/>
      <c r="F10" s="604"/>
      <c r="G10" s="604"/>
      <c r="H10" s="604"/>
      <c r="I10" s="614"/>
      <c r="J10" s="628"/>
      <c r="K10" s="604"/>
      <c r="L10" s="604"/>
      <c r="M10" s="604"/>
      <c r="N10" s="604"/>
      <c r="O10" s="614"/>
      <c r="P10" s="633"/>
      <c r="Q10" s="618">
        <f>+'balance 2023 los andes final '!I82</f>
        <v>113533260.54629487</v>
      </c>
      <c r="R10" s="604">
        <f>+Q10</f>
        <v>113533260.54629487</v>
      </c>
    </row>
    <row r="11" spans="1:18" ht="15.75" thickBot="1">
      <c r="A11" s="601"/>
      <c r="B11" s="602"/>
      <c r="C11" s="859" t="s">
        <v>703</v>
      </c>
      <c r="D11" s="856"/>
      <c r="E11" s="856"/>
      <c r="F11" s="604"/>
      <c r="G11" s="604"/>
      <c r="H11" s="604"/>
      <c r="I11" s="614"/>
      <c r="J11" s="628"/>
      <c r="K11" s="604"/>
      <c r="L11" s="604"/>
      <c r="M11" s="604"/>
      <c r="N11" s="604"/>
      <c r="O11" s="614"/>
      <c r="P11" s="633"/>
      <c r="Q11" s="618"/>
      <c r="R11" s="604">
        <f>+P11</f>
        <v>0</v>
      </c>
    </row>
    <row r="12" spans="1:18" ht="15.75" thickBot="1">
      <c r="A12" s="601"/>
      <c r="B12" s="603"/>
      <c r="C12" s="860" t="s">
        <v>704</v>
      </c>
      <c r="D12" s="861"/>
      <c r="E12" s="861"/>
      <c r="F12" s="606"/>
      <c r="G12" s="606"/>
      <c r="H12" s="606"/>
      <c r="I12" s="615"/>
      <c r="J12" s="606"/>
      <c r="K12" s="606"/>
      <c r="L12" s="606"/>
      <c r="M12" s="606"/>
      <c r="N12" s="606"/>
      <c r="O12" s="615"/>
      <c r="P12" s="629"/>
      <c r="Q12" s="621">
        <f>+Q10+Q11</f>
        <v>113533260.54629487</v>
      </c>
      <c r="R12" s="606">
        <f>+R10+R11</f>
        <v>113533260.54629487</v>
      </c>
    </row>
    <row r="13" spans="1:18">
      <c r="A13" s="601"/>
      <c r="B13" s="862" t="s">
        <v>705</v>
      </c>
      <c r="C13" s="863"/>
      <c r="D13" s="863"/>
      <c r="E13" s="863"/>
      <c r="F13" s="604"/>
      <c r="G13" s="604"/>
      <c r="H13" s="604"/>
      <c r="I13" s="614"/>
      <c r="J13" s="628"/>
      <c r="K13" s="604"/>
      <c r="L13" s="604"/>
      <c r="M13" s="604"/>
      <c r="N13" s="604"/>
      <c r="O13" s="614"/>
      <c r="P13" s="633"/>
      <c r="Q13" s="618">
        <v>0</v>
      </c>
      <c r="R13" s="604">
        <f>+F13+G13+Q13</f>
        <v>0</v>
      </c>
    </row>
    <row r="14" spans="1:18">
      <c r="A14" s="601"/>
      <c r="B14" s="862" t="s">
        <v>706</v>
      </c>
      <c r="C14" s="863"/>
      <c r="D14" s="863"/>
      <c r="E14" s="863"/>
      <c r="F14" s="604"/>
      <c r="G14" s="604"/>
      <c r="H14" s="604"/>
      <c r="I14" s="614"/>
      <c r="J14" s="628"/>
      <c r="K14" s="604"/>
      <c r="L14" s="604"/>
      <c r="M14" s="604"/>
      <c r="N14" s="604"/>
      <c r="O14" s="614"/>
      <c r="P14" s="633"/>
      <c r="Q14" s="618">
        <v>-100000000</v>
      </c>
      <c r="R14" s="604">
        <f>+Q14</f>
        <v>-100000000</v>
      </c>
    </row>
    <row r="15" spans="1:18">
      <c r="A15" s="601"/>
      <c r="B15" s="862" t="s">
        <v>707</v>
      </c>
      <c r="C15" s="863"/>
      <c r="D15" s="863"/>
      <c r="E15" s="863"/>
      <c r="F15" s="604"/>
      <c r="G15" s="604"/>
      <c r="H15" s="604">
        <f>+'cuentas T 2023'!B44</f>
        <v>60000000</v>
      </c>
      <c r="I15" s="614"/>
      <c r="J15" s="628"/>
      <c r="K15" s="604"/>
      <c r="L15" s="604"/>
      <c r="M15" s="604"/>
      <c r="N15" s="604"/>
      <c r="O15" s="614"/>
      <c r="P15" s="633"/>
      <c r="Q15" s="618">
        <v>0</v>
      </c>
      <c r="R15" s="604">
        <f>+F15+G15+H15+I15++P15+Q15</f>
        <v>60000000</v>
      </c>
    </row>
    <row r="16" spans="1:18">
      <c r="A16" s="601"/>
      <c r="B16" s="862" t="s">
        <v>708</v>
      </c>
      <c r="C16" s="863"/>
      <c r="D16" s="863"/>
      <c r="E16" s="863"/>
      <c r="F16" s="604"/>
      <c r="G16" s="604"/>
      <c r="H16" s="604"/>
      <c r="I16" s="614"/>
      <c r="J16" s="628"/>
      <c r="K16" s="604"/>
      <c r="L16" s="604"/>
      <c r="M16" s="604"/>
      <c r="N16" s="604"/>
      <c r="O16" s="614"/>
      <c r="P16" s="633"/>
      <c r="Q16" s="618">
        <v>0</v>
      </c>
      <c r="R16" s="604">
        <f>+F16+G16+I16+P16+Q16</f>
        <v>0</v>
      </c>
    </row>
    <row r="17" spans="1:18">
      <c r="A17" s="601"/>
      <c r="B17" s="862" t="s">
        <v>709</v>
      </c>
      <c r="C17" s="863"/>
      <c r="D17" s="863"/>
      <c r="E17" s="863"/>
      <c r="F17" s="604"/>
      <c r="G17" s="604"/>
      <c r="H17" s="604"/>
      <c r="I17" s="614"/>
      <c r="J17" s="628"/>
      <c r="K17" s="604"/>
      <c r="L17" s="604"/>
      <c r="M17" s="604"/>
      <c r="N17" s="604"/>
      <c r="O17" s="614"/>
      <c r="P17" s="633"/>
      <c r="Q17" s="618">
        <f>-4015107*0</f>
        <v>0</v>
      </c>
      <c r="R17" s="604">
        <f>+F17+G17+I17+P17+Q17</f>
        <v>0</v>
      </c>
    </row>
    <row r="18" spans="1:18">
      <c r="A18" s="601"/>
      <c r="B18" s="862" t="s">
        <v>710</v>
      </c>
      <c r="C18" s="863"/>
      <c r="D18" s="863"/>
      <c r="E18" s="863"/>
      <c r="F18" s="604"/>
      <c r="G18" s="604"/>
      <c r="H18" s="604"/>
      <c r="I18" s="614"/>
      <c r="J18" s="628"/>
      <c r="K18" s="604"/>
      <c r="L18" s="604"/>
      <c r="M18" s="604"/>
      <c r="N18" s="604"/>
      <c r="O18" s="614"/>
      <c r="P18" s="633"/>
      <c r="Q18" s="618">
        <v>0</v>
      </c>
      <c r="R18" s="604">
        <f>+F18+G18+H18+Q18</f>
        <v>0</v>
      </c>
    </row>
    <row r="19" spans="1:18" ht="15.75" thickBot="1">
      <c r="A19" s="601"/>
      <c r="B19" s="862" t="s">
        <v>711</v>
      </c>
      <c r="C19" s="863"/>
      <c r="D19" s="863"/>
      <c r="E19" s="863"/>
      <c r="F19" s="610"/>
      <c r="G19" s="610"/>
      <c r="H19" s="610"/>
      <c r="I19" s="616"/>
      <c r="J19" s="630"/>
      <c r="K19" s="610"/>
      <c r="L19" s="610"/>
      <c r="M19" s="610"/>
      <c r="N19" s="610"/>
      <c r="O19" s="616"/>
      <c r="P19" s="636"/>
      <c r="Q19" s="622">
        <v>0</v>
      </c>
      <c r="R19" s="604">
        <f>+Q19</f>
        <v>0</v>
      </c>
    </row>
    <row r="20" spans="1:18" ht="15.75" thickBot="1">
      <c r="A20" s="855" t="s">
        <v>712</v>
      </c>
      <c r="B20" s="856"/>
      <c r="C20" s="856"/>
      <c r="D20" s="856"/>
      <c r="E20" s="864"/>
      <c r="F20" s="606">
        <f>SUM(F12:F19)</f>
        <v>0</v>
      </c>
      <c r="G20" s="606">
        <f t="shared" ref="G20:R20" si="3">SUM(G12:G19)</f>
        <v>0</v>
      </c>
      <c r="H20" s="606">
        <f t="shared" si="3"/>
        <v>60000000</v>
      </c>
      <c r="I20" s="615">
        <f t="shared" si="3"/>
        <v>0</v>
      </c>
      <c r="J20" s="606">
        <f t="shared" si="3"/>
        <v>0</v>
      </c>
      <c r="K20" s="606">
        <f t="shared" si="3"/>
        <v>0</v>
      </c>
      <c r="L20" s="606">
        <f t="shared" si="3"/>
        <v>0</v>
      </c>
      <c r="M20" s="606">
        <f t="shared" si="3"/>
        <v>0</v>
      </c>
      <c r="N20" s="606">
        <f t="shared" si="3"/>
        <v>0</v>
      </c>
      <c r="O20" s="615">
        <f t="shared" si="3"/>
        <v>0</v>
      </c>
      <c r="P20" s="629">
        <f t="shared" si="3"/>
        <v>0</v>
      </c>
      <c r="Q20" s="621">
        <f t="shared" si="3"/>
        <v>13533260.546294868</v>
      </c>
      <c r="R20" s="606">
        <f t="shared" si="3"/>
        <v>73533260.546294868</v>
      </c>
    </row>
    <row r="21" spans="1:18" ht="15.75" thickBot="1">
      <c r="A21" s="853" t="s">
        <v>715</v>
      </c>
      <c r="B21" s="854"/>
      <c r="C21" s="854"/>
      <c r="D21" s="854"/>
      <c r="E21" s="854"/>
      <c r="F21" s="606">
        <f>+F7+F20</f>
        <v>200000000</v>
      </c>
      <c r="G21" s="606">
        <f t="shared" ref="G21:R21" si="4">+G7+G20</f>
        <v>0</v>
      </c>
      <c r="H21" s="606">
        <f t="shared" si="4"/>
        <v>-40000000</v>
      </c>
      <c r="I21" s="615">
        <f t="shared" si="4"/>
        <v>0</v>
      </c>
      <c r="J21" s="606">
        <f t="shared" si="4"/>
        <v>0</v>
      </c>
      <c r="K21" s="606">
        <f t="shared" si="4"/>
        <v>112500000</v>
      </c>
      <c r="L21" s="606">
        <f t="shared" si="4"/>
        <v>0</v>
      </c>
      <c r="M21" s="606">
        <f t="shared" si="4"/>
        <v>0</v>
      </c>
      <c r="N21" s="606">
        <f t="shared" si="4"/>
        <v>0</v>
      </c>
      <c r="O21" s="615">
        <f t="shared" si="4"/>
        <v>0</v>
      </c>
      <c r="P21" s="629">
        <f t="shared" si="4"/>
        <v>112500000</v>
      </c>
      <c r="Q21" s="621">
        <f t="shared" si="4"/>
        <v>561700093.87962818</v>
      </c>
      <c r="R21" s="606">
        <f t="shared" si="4"/>
        <v>834200093.87962818</v>
      </c>
    </row>
  </sheetData>
  <mergeCells count="18">
    <mergeCell ref="A21:E21"/>
    <mergeCell ref="C10:E10"/>
    <mergeCell ref="C11:E11"/>
    <mergeCell ref="C12:E12"/>
    <mergeCell ref="B13:E13"/>
    <mergeCell ref="B14:E14"/>
    <mergeCell ref="B15:E15"/>
    <mergeCell ref="B16:E16"/>
    <mergeCell ref="B17:E17"/>
    <mergeCell ref="B18:E18"/>
    <mergeCell ref="B19:E19"/>
    <mergeCell ref="A20:E20"/>
    <mergeCell ref="B9:E9"/>
    <mergeCell ref="A4:E4"/>
    <mergeCell ref="A5:E5"/>
    <mergeCell ref="A6:E6"/>
    <mergeCell ref="A7:E7"/>
    <mergeCell ref="A8:E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opLeftCell="A22" zoomScale="96" zoomScaleNormal="96" workbookViewId="0">
      <selection activeCell="E33" sqref="E3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bestFit="1" customWidth="1"/>
    <col min="5" max="6" width="17.140625" style="283" customWidth="1"/>
    <col min="7" max="7" width="17.85546875" style="283" customWidth="1"/>
    <col min="8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718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34965940</v>
      </c>
      <c r="E5" s="296">
        <f>SUM(E6:E8)</f>
        <v>0</v>
      </c>
      <c r="F5" s="298"/>
      <c r="G5" s="299">
        <f>SUM(G6:G8)</f>
        <v>34965940</v>
      </c>
    </row>
    <row r="6" spans="1:7">
      <c r="A6" s="284"/>
      <c r="B6" s="300" t="s">
        <v>423</v>
      </c>
      <c r="C6" s="301" t="s">
        <v>424</v>
      </c>
      <c r="D6" s="302">
        <f>+'balance YYY SAC 2023 '!J21</f>
        <v>34965940</v>
      </c>
      <c r="E6" s="303"/>
      <c r="F6" s="304"/>
      <c r="G6" s="305">
        <f>+D6-E6+F6</f>
        <v>34965940</v>
      </c>
    </row>
    <row r="7" spans="1:7">
      <c r="A7" s="284"/>
      <c r="B7" s="300" t="s">
        <v>425</v>
      </c>
      <c r="C7" s="301" t="s">
        <v>424</v>
      </c>
      <c r="D7" s="302"/>
      <c r="E7" s="303"/>
      <c r="F7" s="304"/>
      <c r="G7" s="305">
        <f t="shared" ref="G7:G28" si="0">+D7-E7+F7</f>
        <v>0</v>
      </c>
    </row>
    <row r="8" spans="1:7" ht="15.75" thickBot="1">
      <c r="A8" s="284"/>
      <c r="B8" s="306" t="s">
        <v>426</v>
      </c>
      <c r="C8" s="307" t="s">
        <v>424</v>
      </c>
      <c r="D8" s="308"/>
      <c r="E8" s="309"/>
      <c r="F8" s="310"/>
      <c r="G8" s="311">
        <f t="shared" si="0"/>
        <v>0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05">
        <f t="shared" si="0"/>
        <v>0</v>
      </c>
    </row>
    <row r="10" spans="1:7">
      <c r="A10" s="284"/>
      <c r="B10" s="318" t="s">
        <v>428</v>
      </c>
      <c r="C10" s="301" t="s">
        <v>424</v>
      </c>
      <c r="D10" s="302"/>
      <c r="E10" s="319"/>
      <c r="F10" s="320"/>
      <c r="G10" s="305">
        <f t="shared" si="0"/>
        <v>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05">
        <f t="shared" si="0"/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1">SUM(E13:E14)</f>
        <v>0</v>
      </c>
      <c r="F12" s="298">
        <f t="shared" si="1"/>
        <v>0</v>
      </c>
      <c r="G12" s="299">
        <f t="shared" si="1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05">
        <f t="shared" si="0"/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05">
        <f t="shared" si="0"/>
        <v>0</v>
      </c>
    </row>
    <row r="15" spans="1:7">
      <c r="A15" s="284"/>
      <c r="B15" s="295" t="s">
        <v>433</v>
      </c>
      <c r="C15" s="328" t="s">
        <v>422</v>
      </c>
      <c r="D15" s="297">
        <f>SUM(D16:D26)</f>
        <v>111246</v>
      </c>
      <c r="E15" s="296">
        <f t="shared" ref="E15:F15" si="2">SUM(E16:E26)</f>
        <v>0</v>
      </c>
      <c r="F15" s="298">
        <f t="shared" si="2"/>
        <v>0</v>
      </c>
      <c r="G15" s="299">
        <f>SUM(G16:G26)</f>
        <v>111246</v>
      </c>
    </row>
    <row r="16" spans="1:7" ht="15.75" thickBot="1">
      <c r="A16" s="284"/>
      <c r="B16" s="554" t="s">
        <v>434</v>
      </c>
      <c r="C16" s="323" t="s">
        <v>424</v>
      </c>
      <c r="D16" s="339"/>
      <c r="E16" s="542"/>
      <c r="F16" s="555"/>
      <c r="G16" s="325">
        <f t="shared" si="0"/>
        <v>0</v>
      </c>
    </row>
    <row r="17" spans="1:8">
      <c r="A17" s="284"/>
      <c r="B17" s="556" t="s">
        <v>342</v>
      </c>
      <c r="C17" s="296" t="s">
        <v>424</v>
      </c>
      <c r="D17" s="557"/>
      <c r="E17" s="296"/>
      <c r="F17" s="558"/>
      <c r="G17" s="559">
        <f t="shared" si="0"/>
        <v>0</v>
      </c>
    </row>
    <row r="18" spans="1:8">
      <c r="A18" s="284"/>
      <c r="B18" s="334" t="s">
        <v>435</v>
      </c>
      <c r="C18" s="301" t="s">
        <v>424</v>
      </c>
      <c r="D18" s="330"/>
      <c r="E18" s="333"/>
      <c r="F18" s="333"/>
      <c r="G18" s="305"/>
    </row>
    <row r="19" spans="1:8">
      <c r="A19" s="284"/>
      <c r="B19" s="336" t="s">
        <v>655</v>
      </c>
      <c r="C19" s="301" t="s">
        <v>424</v>
      </c>
      <c r="D19" s="330">
        <f>+'balance YYY SAC 2023 '!J22+'balance YYY SAC 2023 '!J23</f>
        <v>111246</v>
      </c>
      <c r="E19" s="333"/>
      <c r="F19" s="333"/>
      <c r="G19" s="305">
        <f t="shared" si="0"/>
        <v>111246</v>
      </c>
    </row>
    <row r="20" spans="1:8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05">
        <f t="shared" si="0"/>
        <v>0</v>
      </c>
    </row>
    <row r="21" spans="1:8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05">
        <f t="shared" si="0"/>
        <v>0</v>
      </c>
    </row>
    <row r="22" spans="1:8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05">
        <f t="shared" si="0"/>
        <v>0</v>
      </c>
    </row>
    <row r="23" spans="1:8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05">
        <f t="shared" si="0"/>
        <v>0</v>
      </c>
    </row>
    <row r="24" spans="1:8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05">
        <f t="shared" si="0"/>
        <v>0</v>
      </c>
    </row>
    <row r="25" spans="1:8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05">
        <f t="shared" si="0"/>
        <v>0</v>
      </c>
    </row>
    <row r="26" spans="1:8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11">
        <f t="shared" si="0"/>
        <v>0</v>
      </c>
    </row>
    <row r="27" spans="1:8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05">
        <f t="shared" si="0"/>
        <v>0</v>
      </c>
    </row>
    <row r="28" spans="1:8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05">
        <f t="shared" si="0"/>
        <v>0</v>
      </c>
    </row>
    <row r="29" spans="1:8" ht="15.75" thickBot="1">
      <c r="A29" s="284"/>
      <c r="B29" s="350" t="s">
        <v>446</v>
      </c>
      <c r="C29" s="351" t="s">
        <v>422</v>
      </c>
      <c r="D29" s="352">
        <f>+D5+D9+D10+D11+D12+D15+D27+D28</f>
        <v>35077186</v>
      </c>
      <c r="E29" s="351">
        <f>+E5+E9+E10+E11+E12+E15+E27+E28</f>
        <v>0</v>
      </c>
      <c r="F29" s="351">
        <f>+F5+F9+F10+F11+F12+F15+F27+F28</f>
        <v>0</v>
      </c>
      <c r="G29" s="353">
        <f>+G5+G9+G10+G11+G12+G15+G27+G28</f>
        <v>35077186</v>
      </c>
    </row>
    <row r="30" spans="1:8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05">
        <f t="shared" ref="G30:G55" si="3">+D30-E30+F30</f>
        <v>0</v>
      </c>
      <c r="H30"/>
    </row>
    <row r="31" spans="1:8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05">
        <f t="shared" si="3"/>
        <v>0</v>
      </c>
      <c r="H31"/>
    </row>
    <row r="32" spans="1:8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05">
        <f t="shared" si="3"/>
        <v>0</v>
      </c>
    </row>
    <row r="33" spans="1:8" ht="15" customHeight="1">
      <c r="A33" s="284"/>
      <c r="B33" s="356" t="s">
        <v>451</v>
      </c>
      <c r="C33" s="357" t="s">
        <v>448</v>
      </c>
      <c r="D33" s="330"/>
      <c r="E33" s="333">
        <f>+'balance YYY SAC 2023 '!H15/1.19</f>
        <v>15476448.739495799</v>
      </c>
      <c r="F33" s="333">
        <f>+'balance YYY SAC 2023 '!C8</f>
        <v>33529961</v>
      </c>
      <c r="G33" s="305">
        <f t="shared" si="3"/>
        <v>18053512.260504201</v>
      </c>
      <c r="H33"/>
    </row>
    <row r="34" spans="1:8" ht="15" customHeight="1">
      <c r="A34" s="284"/>
      <c r="B34" s="356" t="s">
        <v>452</v>
      </c>
      <c r="C34" s="357" t="s">
        <v>448</v>
      </c>
      <c r="D34" s="330"/>
      <c r="E34" s="333"/>
      <c r="F34" s="333"/>
      <c r="G34" s="305">
        <f t="shared" si="3"/>
        <v>0</v>
      </c>
      <c r="H34"/>
    </row>
    <row r="35" spans="1:8">
      <c r="A35" s="284"/>
      <c r="B35" s="356" t="s">
        <v>453</v>
      </c>
      <c r="C35" s="357" t="s">
        <v>448</v>
      </c>
      <c r="D35" s="330"/>
      <c r="E35" s="333"/>
      <c r="F35" s="333"/>
      <c r="G35" s="305">
        <f t="shared" si="3"/>
        <v>0</v>
      </c>
      <c r="H35"/>
    </row>
    <row r="36" spans="1:8">
      <c r="A36" s="284"/>
      <c r="B36" s="356" t="s">
        <v>454</v>
      </c>
      <c r="C36" s="357" t="s">
        <v>448</v>
      </c>
      <c r="D36" s="330"/>
      <c r="E36" s="333"/>
      <c r="F36" s="333"/>
      <c r="G36" s="305">
        <f t="shared" si="3"/>
        <v>0</v>
      </c>
      <c r="H36"/>
    </row>
    <row r="37" spans="1:8">
      <c r="A37" s="284"/>
      <c r="B37" s="356" t="s">
        <v>455</v>
      </c>
      <c r="C37" s="357" t="s">
        <v>448</v>
      </c>
      <c r="F37" s="333">
        <f>+'balance YYY SAC 2023 '!G10</f>
        <v>14033614</v>
      </c>
      <c r="G37" s="305">
        <f t="shared" si="3"/>
        <v>14033614</v>
      </c>
      <c r="H37"/>
    </row>
    <row r="38" spans="1:8">
      <c r="A38" s="284"/>
      <c r="B38" s="356" t="s">
        <v>456</v>
      </c>
      <c r="C38" s="357" t="s">
        <v>448</v>
      </c>
      <c r="D38" s="330"/>
      <c r="E38" s="333"/>
      <c r="F38" s="333"/>
      <c r="G38" s="305">
        <f t="shared" si="3"/>
        <v>0</v>
      </c>
      <c r="H38"/>
    </row>
    <row r="39" spans="1:8">
      <c r="A39" s="284"/>
      <c r="B39" s="356" t="s">
        <v>457</v>
      </c>
      <c r="C39" s="357" t="s">
        <v>448</v>
      </c>
      <c r="D39" s="339">
        <f>+'balance YYY SAC 2023 '!I24</f>
        <v>1488240</v>
      </c>
      <c r="E39" s="333"/>
      <c r="F39" s="333"/>
      <c r="G39" s="305">
        <f t="shared" si="3"/>
        <v>1488240</v>
      </c>
      <c r="H39"/>
    </row>
    <row r="40" spans="1:8">
      <c r="A40" s="284"/>
      <c r="B40" s="362" t="s">
        <v>458</v>
      </c>
      <c r="C40" s="357" t="s">
        <v>448</v>
      </c>
      <c r="D40" s="339"/>
      <c r="E40" s="333"/>
      <c r="F40" s="333"/>
      <c r="G40" s="305">
        <f t="shared" si="3"/>
        <v>0</v>
      </c>
      <c r="H40"/>
    </row>
    <row r="41" spans="1:8" ht="15" customHeight="1">
      <c r="A41" s="284"/>
      <c r="B41" s="362" t="s">
        <v>459</v>
      </c>
      <c r="C41" s="357" t="s">
        <v>448</v>
      </c>
      <c r="D41" s="330"/>
      <c r="E41" s="333"/>
      <c r="F41" s="333"/>
      <c r="G41" s="305">
        <f t="shared" si="3"/>
        <v>0</v>
      </c>
    </row>
    <row r="42" spans="1:8" ht="15" customHeight="1">
      <c r="A42" s="284"/>
      <c r="B42" s="362" t="s">
        <v>460</v>
      </c>
      <c r="C42" s="357" t="s">
        <v>448</v>
      </c>
      <c r="D42" s="330"/>
      <c r="E42" s="333"/>
      <c r="F42" s="333"/>
      <c r="G42" s="305">
        <f t="shared" si="3"/>
        <v>0</v>
      </c>
    </row>
    <row r="43" spans="1:8" ht="15" customHeight="1">
      <c r="A43" s="284"/>
      <c r="B43" s="362" t="s">
        <v>461</v>
      </c>
      <c r="C43" s="357" t="s">
        <v>448</v>
      </c>
      <c r="D43" s="330">
        <f>+'balance YYY SAC 2023 '!I33</f>
        <v>1088825</v>
      </c>
      <c r="E43" s="333"/>
      <c r="F43" s="333"/>
      <c r="G43" s="305">
        <f t="shared" si="3"/>
        <v>1088825</v>
      </c>
    </row>
    <row r="44" spans="1:8" ht="15" customHeight="1">
      <c r="A44" s="284"/>
      <c r="B44" s="362" t="s">
        <v>462</v>
      </c>
      <c r="C44" s="357" t="s">
        <v>448</v>
      </c>
      <c r="D44" s="330"/>
      <c r="E44" s="333"/>
      <c r="F44" s="333"/>
      <c r="G44" s="305">
        <f t="shared" si="3"/>
        <v>0</v>
      </c>
    </row>
    <row r="45" spans="1:8">
      <c r="A45" s="284"/>
      <c r="B45" s="363" t="s">
        <v>463</v>
      </c>
      <c r="C45" s="357" t="s">
        <v>448</v>
      </c>
      <c r="D45" s="330"/>
      <c r="E45" s="333"/>
      <c r="F45" s="333"/>
      <c r="G45" s="305">
        <f t="shared" si="3"/>
        <v>0</v>
      </c>
    </row>
    <row r="46" spans="1:8">
      <c r="A46" s="284"/>
      <c r="B46" s="363" t="s">
        <v>464</v>
      </c>
      <c r="C46" s="357" t="s">
        <v>448</v>
      </c>
      <c r="D46" s="330"/>
      <c r="E46" s="333"/>
      <c r="F46" s="333"/>
      <c r="G46" s="305">
        <f t="shared" si="3"/>
        <v>0</v>
      </c>
    </row>
    <row r="47" spans="1:8" ht="15" customHeight="1">
      <c r="A47" s="284"/>
      <c r="B47" s="363" t="s">
        <v>465</v>
      </c>
      <c r="C47" s="357" t="s">
        <v>448</v>
      </c>
      <c r="D47" s="330"/>
      <c r="E47" s="333"/>
      <c r="F47" s="333"/>
      <c r="G47" s="305">
        <f t="shared" si="3"/>
        <v>0</v>
      </c>
    </row>
    <row r="48" spans="1:8" ht="15" customHeight="1">
      <c r="A48" s="284"/>
      <c r="B48" s="363" t="s">
        <v>466</v>
      </c>
      <c r="C48" s="357" t="s">
        <v>448</v>
      </c>
      <c r="D48" s="330">
        <f>+'balance YYY SAC 2023 '!I36+'balance YYY SAC 2023 '!I37</f>
        <v>1420546</v>
      </c>
      <c r="E48" s="333"/>
      <c r="F48" s="333"/>
      <c r="G48" s="305">
        <f t="shared" si="3"/>
        <v>1420546</v>
      </c>
    </row>
    <row r="49" spans="1:9" ht="15" customHeight="1">
      <c r="A49" s="284"/>
      <c r="B49" s="362" t="s">
        <v>467</v>
      </c>
      <c r="C49" s="357" t="s">
        <v>448</v>
      </c>
      <c r="E49" s="333"/>
      <c r="F49" s="333"/>
      <c r="G49" s="305">
        <f t="shared" si="3"/>
        <v>0</v>
      </c>
    </row>
    <row r="50" spans="1:9">
      <c r="A50" s="284"/>
      <c r="B50" s="362" t="s">
        <v>468</v>
      </c>
      <c r="C50" s="357" t="s">
        <v>448</v>
      </c>
      <c r="D50" s="330">
        <f>SUM('balance YYY SAC 2023 '!I25:I27,'balance YYY SAC 2023 '!I30:I32)+'balance YYY SAC 2023 '!I28+'balance YYY SAC 2023 '!I29</f>
        <v>1640884</v>
      </c>
      <c r="E50" s="333"/>
      <c r="F50" s="333"/>
      <c r="G50" s="305">
        <f t="shared" si="3"/>
        <v>1640884</v>
      </c>
    </row>
    <row r="51" spans="1:9" ht="15" customHeight="1">
      <c r="A51" s="284"/>
      <c r="B51" s="362" t="s">
        <v>469</v>
      </c>
      <c r="C51" s="357" t="s">
        <v>448</v>
      </c>
      <c r="D51" s="330"/>
      <c r="E51" s="333"/>
      <c r="F51" s="333"/>
      <c r="G51" s="305">
        <f t="shared" si="3"/>
        <v>0</v>
      </c>
    </row>
    <row r="52" spans="1:9">
      <c r="A52" s="284"/>
      <c r="B52" s="362" t="s">
        <v>470</v>
      </c>
      <c r="C52" s="357" t="s">
        <v>448</v>
      </c>
      <c r="D52" s="330"/>
      <c r="E52" s="333"/>
      <c r="F52" s="333"/>
      <c r="G52" s="305">
        <f t="shared" si="3"/>
        <v>0</v>
      </c>
    </row>
    <row r="53" spans="1:9" ht="16.5" customHeight="1">
      <c r="A53" s="284"/>
      <c r="B53" s="356" t="s">
        <v>471</v>
      </c>
      <c r="C53" s="357" t="s">
        <v>448</v>
      </c>
      <c r="D53" s="330"/>
      <c r="E53" s="333"/>
      <c r="F53" s="333"/>
      <c r="G53" s="305">
        <f t="shared" si="3"/>
        <v>0</v>
      </c>
    </row>
    <row r="54" spans="1:9">
      <c r="A54" s="284"/>
      <c r="B54" s="356" t="s">
        <v>472</v>
      </c>
      <c r="C54" s="357" t="s">
        <v>448</v>
      </c>
      <c r="D54" s="330"/>
      <c r="E54" s="333"/>
      <c r="F54" s="333"/>
      <c r="G54" s="305">
        <f t="shared" si="3"/>
        <v>0</v>
      </c>
    </row>
    <row r="55" spans="1:9">
      <c r="A55" s="284"/>
      <c r="B55" s="356" t="s">
        <v>473</v>
      </c>
      <c r="C55" s="364"/>
      <c r="D55" s="330"/>
      <c r="E55" s="333"/>
      <c r="F55" s="333"/>
      <c r="G55" s="305">
        <f t="shared" si="3"/>
        <v>0</v>
      </c>
    </row>
    <row r="56" spans="1:9" ht="15" customHeight="1">
      <c r="A56" s="284"/>
      <c r="B56" s="334" t="s">
        <v>474</v>
      </c>
      <c r="C56" s="357" t="s">
        <v>448</v>
      </c>
      <c r="D56" s="330">
        <f>+'balance YYY SAC 2023 '!I34</f>
        <v>1534927</v>
      </c>
      <c r="E56" s="333"/>
      <c r="F56" s="333"/>
      <c r="G56" s="305"/>
    </row>
    <row r="57" spans="1:9" ht="15" customHeight="1">
      <c r="A57" s="284"/>
      <c r="B57" s="334" t="s">
        <v>475</v>
      </c>
      <c r="C57" s="357" t="s">
        <v>448</v>
      </c>
      <c r="D57" s="330">
        <f>+'balance YYY SAC 2023 '!I35</f>
        <v>24105161</v>
      </c>
      <c r="E57" s="333"/>
      <c r="F57" s="333"/>
      <c r="G57" s="305"/>
    </row>
    <row r="58" spans="1:9" ht="15" customHeight="1">
      <c r="A58" s="284"/>
      <c r="B58" s="334" t="s">
        <v>476</v>
      </c>
      <c r="C58" s="357" t="s">
        <v>448</v>
      </c>
      <c r="D58" s="330"/>
      <c r="E58" s="333"/>
      <c r="F58" s="333"/>
      <c r="G58" s="305"/>
    </row>
    <row r="59" spans="1:9" ht="15" customHeight="1">
      <c r="A59" s="284"/>
      <c r="B59" s="334" t="s">
        <v>476</v>
      </c>
      <c r="C59" s="357" t="s">
        <v>448</v>
      </c>
      <c r="D59" s="330"/>
      <c r="E59" s="333"/>
      <c r="F59" s="333"/>
      <c r="G59" s="305"/>
    </row>
    <row r="60" spans="1:9" ht="15" customHeight="1">
      <c r="A60" s="284"/>
      <c r="B60" s="334" t="s">
        <v>476</v>
      </c>
      <c r="C60" s="357" t="s">
        <v>448</v>
      </c>
      <c r="D60" s="330"/>
      <c r="E60" s="333"/>
      <c r="F60" s="333"/>
      <c r="G60" s="305"/>
    </row>
    <row r="61" spans="1:9" ht="15" customHeight="1" thickBot="1">
      <c r="A61" s="284"/>
      <c r="B61" s="336" t="s">
        <v>476</v>
      </c>
      <c r="C61" s="367" t="s">
        <v>448</v>
      </c>
      <c r="D61" s="330"/>
      <c r="E61" s="333"/>
      <c r="F61" s="333"/>
      <c r="G61" s="305"/>
    </row>
    <row r="62" spans="1:9" ht="15.75" thickBot="1">
      <c r="A62" s="284"/>
      <c r="B62" s="368" t="s">
        <v>477</v>
      </c>
      <c r="C62" s="369" t="s">
        <v>422</v>
      </c>
      <c r="D62" s="370">
        <f>SUM(D30:D61)</f>
        <v>31278583</v>
      </c>
      <c r="E62" s="369">
        <f>SUM(E30:E61)</f>
        <v>15476448.739495799</v>
      </c>
      <c r="F62" s="371">
        <f>SUM(F30:F61)</f>
        <v>47563575</v>
      </c>
      <c r="G62" s="372">
        <f>SUM(G30:G61)</f>
        <v>37725621.260504201</v>
      </c>
      <c r="I62" s="373"/>
    </row>
    <row r="63" spans="1:9" ht="15.75" thickBot="1">
      <c r="A63" s="284"/>
      <c r="B63" s="368" t="s">
        <v>240</v>
      </c>
      <c r="C63" s="369" t="s">
        <v>422</v>
      </c>
      <c r="D63" s="370">
        <f>+D29-D62</f>
        <v>3798603</v>
      </c>
      <c r="E63" s="374"/>
      <c r="F63" s="374"/>
      <c r="G63" s="375"/>
      <c r="I63" s="373"/>
    </row>
    <row r="64" spans="1:9" ht="15.75" customHeight="1" thickBot="1">
      <c r="A64" s="284"/>
      <c r="B64" s="376" t="s">
        <v>478</v>
      </c>
      <c r="C64" s="377" t="s">
        <v>424</v>
      </c>
      <c r="D64" s="352"/>
      <c r="E64" s="374"/>
      <c r="F64" s="374"/>
      <c r="G64" s="372">
        <f>+G47+G48</f>
        <v>1420546</v>
      </c>
      <c r="I64" s="378"/>
    </row>
    <row r="65" spans="1:9" ht="15.75" customHeight="1" thickBot="1">
      <c r="A65" s="284"/>
      <c r="B65" s="379" t="s">
        <v>479</v>
      </c>
      <c r="C65" s="380" t="s">
        <v>422</v>
      </c>
      <c r="D65" s="381"/>
      <c r="E65" s="382"/>
      <c r="F65" s="382"/>
      <c r="G65" s="372">
        <f>+G64+G29-G62</f>
        <v>-1227889.2605042011</v>
      </c>
      <c r="I65" s="373"/>
    </row>
    <row r="66" spans="1:9" ht="15.75" customHeight="1" thickBot="1">
      <c r="A66" s="284"/>
      <c r="B66" s="379" t="s">
        <v>480</v>
      </c>
      <c r="C66" s="383"/>
      <c r="D66" s="384"/>
      <c r="E66" s="385"/>
      <c r="F66" s="385"/>
      <c r="G66" s="372"/>
    </row>
    <row r="67" spans="1:9" ht="15.75" thickBot="1">
      <c r="A67" s="284"/>
      <c r="B67" s="346" t="s">
        <v>481</v>
      </c>
      <c r="C67" s="386" t="s">
        <v>448</v>
      </c>
      <c r="D67" s="387"/>
      <c r="E67" s="388"/>
      <c r="F67" s="388"/>
      <c r="G67" s="372">
        <f>+D87</f>
        <v>0</v>
      </c>
    </row>
    <row r="68" spans="1:9" ht="15.75" customHeight="1" thickBot="1">
      <c r="A68" s="284"/>
      <c r="B68" s="322" t="s">
        <v>482</v>
      </c>
      <c r="C68" s="367" t="s">
        <v>448</v>
      </c>
      <c r="D68" s="389"/>
      <c r="E68" s="390"/>
      <c r="F68" s="390"/>
      <c r="G68" s="372"/>
    </row>
    <row r="69" spans="1:9" ht="15.75" customHeight="1" thickBot="1">
      <c r="A69" s="284"/>
      <c r="B69" s="391" t="s">
        <v>483</v>
      </c>
      <c r="C69" s="351" t="s">
        <v>422</v>
      </c>
      <c r="D69" s="352"/>
      <c r="E69" s="374"/>
      <c r="F69" s="374"/>
      <c r="G69" s="372">
        <f>+G65-G67-G68</f>
        <v>-1227889.2605042011</v>
      </c>
    </row>
    <row r="70" spans="1:9" ht="15.75" customHeight="1" thickBot="1">
      <c r="A70" s="392"/>
      <c r="B70" s="393"/>
      <c r="C70" s="394"/>
      <c r="D70" s="395"/>
      <c r="E70" s="396"/>
      <c r="F70" s="396"/>
      <c r="G70" s="372"/>
    </row>
    <row r="71" spans="1:9" ht="15.75" thickBot="1">
      <c r="B71" s="397" t="s">
        <v>484</v>
      </c>
      <c r="C71" s="398"/>
      <c r="D71" s="399"/>
      <c r="E71" s="400"/>
      <c r="F71" s="400"/>
      <c r="G71" s="372"/>
    </row>
    <row r="72" spans="1:9" ht="15.75" thickBot="1">
      <c r="B72" s="356" t="s">
        <v>485</v>
      </c>
      <c r="C72" s="301" t="s">
        <v>424</v>
      </c>
      <c r="D72" s="401"/>
      <c r="E72" s="402"/>
      <c r="F72" s="402"/>
      <c r="G72" s="372"/>
    </row>
    <row r="73" spans="1:9" ht="15.75" thickBot="1">
      <c r="B73" s="322" t="s">
        <v>486</v>
      </c>
      <c r="C73" s="323" t="s">
        <v>424</v>
      </c>
      <c r="D73" s="403"/>
      <c r="E73" s="404"/>
      <c r="F73" s="404"/>
      <c r="G73" s="372"/>
    </row>
    <row r="74" spans="1:9" ht="15.75" thickBot="1">
      <c r="B74" s="391" t="s">
        <v>487</v>
      </c>
      <c r="C74" s="351" t="s">
        <v>422</v>
      </c>
      <c r="D74" s="352"/>
      <c r="E74" s="374"/>
      <c r="F74" s="374"/>
      <c r="G74" s="372"/>
    </row>
    <row r="75" spans="1:9" ht="15.75" thickBot="1">
      <c r="B75" s="279"/>
      <c r="C75" s="405"/>
      <c r="D75" s="352"/>
      <c r="E75" s="374"/>
      <c r="F75" s="374"/>
      <c r="G75" s="406"/>
    </row>
    <row r="76" spans="1:9" ht="15.75" thickBot="1">
      <c r="B76" s="397" t="s">
        <v>488</v>
      </c>
      <c r="C76" s="398"/>
      <c r="D76" s="352"/>
      <c r="E76" s="374"/>
      <c r="F76" s="374"/>
      <c r="G76" s="407"/>
    </row>
    <row r="77" spans="1:9" ht="15.75" thickBot="1">
      <c r="B77" s="363" t="s">
        <v>463</v>
      </c>
      <c r="C77" s="301" t="s">
        <v>424</v>
      </c>
      <c r="D77" s="352"/>
      <c r="E77" s="374"/>
      <c r="F77" s="374"/>
      <c r="G77" s="408">
        <f>+G45</f>
        <v>0</v>
      </c>
    </row>
    <row r="78" spans="1:9" ht="15.75" thickBot="1">
      <c r="B78" s="391" t="s">
        <v>489</v>
      </c>
      <c r="C78" s="351" t="s">
        <v>422</v>
      </c>
      <c r="D78" s="352"/>
      <c r="E78" s="374"/>
      <c r="F78" s="374"/>
      <c r="G78" s="409">
        <f t="shared" ref="G78" si="4">+G77</f>
        <v>0</v>
      </c>
    </row>
    <row r="80" spans="1:9">
      <c r="D80" s="410"/>
    </row>
    <row r="81" spans="2:9" ht="15.75">
      <c r="B81" s="560" t="s">
        <v>656</v>
      </c>
      <c r="C81" s="561"/>
      <c r="D81" s="392"/>
      <c r="E81" s="513"/>
      <c r="F81" s="513"/>
      <c r="G81" s="513"/>
      <c r="H81" s="513"/>
      <c r="I81" s="513"/>
    </row>
    <row r="82" spans="2:9" ht="15.75">
      <c r="B82" s="562" t="s">
        <v>657</v>
      </c>
      <c r="C82" s="563"/>
      <c r="D82" s="392"/>
      <c r="E82" s="513"/>
      <c r="F82" s="513"/>
      <c r="G82" s="513"/>
      <c r="H82" s="513"/>
      <c r="I82" s="513"/>
    </row>
    <row r="83" spans="2:9">
      <c r="B83" s="564" t="s">
        <v>658</v>
      </c>
      <c r="C83" s="565"/>
      <c r="D83" s="566"/>
      <c r="E83" s="513"/>
      <c r="F83" s="513"/>
      <c r="G83" s="513"/>
      <c r="H83" s="513"/>
      <c r="I83" s="513"/>
    </row>
    <row r="84" spans="2:9">
      <c r="B84" s="567" t="s">
        <v>659</v>
      </c>
      <c r="C84" s="568"/>
      <c r="D84" s="569"/>
      <c r="E84" s="513"/>
      <c r="F84" s="513"/>
      <c r="G84" s="513"/>
      <c r="H84" s="513"/>
      <c r="I84" s="513"/>
    </row>
    <row r="85" spans="2:9">
      <c r="B85" s="567" t="s">
        <v>660</v>
      </c>
      <c r="C85" s="568"/>
      <c r="D85" s="569"/>
      <c r="E85" s="513"/>
      <c r="F85" s="513"/>
      <c r="G85" s="513"/>
      <c r="H85" s="513"/>
      <c r="I85" s="513"/>
    </row>
    <row r="86" spans="2:9">
      <c r="B86" s="564" t="s">
        <v>661</v>
      </c>
      <c r="C86" s="570"/>
      <c r="D86" s="566">
        <f>+D83-D84-D85</f>
        <v>0</v>
      </c>
      <c r="E86" s="513"/>
      <c r="F86" s="513"/>
      <c r="G86" s="513"/>
      <c r="H86" s="513"/>
      <c r="I86" s="513"/>
    </row>
    <row r="87" spans="2:9">
      <c r="B87" s="571">
        <v>0.5</v>
      </c>
      <c r="C87" s="572"/>
      <c r="D87" s="573">
        <f>+D86/2</f>
        <v>0</v>
      </c>
      <c r="E87" s="513"/>
      <c r="F87" s="513"/>
      <c r="G87" s="513"/>
      <c r="H87" s="513"/>
      <c r="I87" s="513"/>
    </row>
    <row r="91" spans="2:9" ht="15.75">
      <c r="B91" s="560" t="s">
        <v>662</v>
      </c>
      <c r="C91" s="561"/>
      <c r="D91" s="392"/>
    </row>
    <row r="92" spans="2:9" ht="15.75">
      <c r="B92" s="562" t="s">
        <v>663</v>
      </c>
      <c r="C92" s="563"/>
      <c r="D92" s="392"/>
    </row>
    <row r="93" spans="2:9">
      <c r="B93" s="564" t="s">
        <v>664</v>
      </c>
      <c r="C93" s="565"/>
      <c r="D93" s="566" t="e">
        <f>+#REF!+#REF!+#REF!</f>
        <v>#REF!</v>
      </c>
    </row>
    <row r="94" spans="2:9">
      <c r="B94" s="567" t="s">
        <v>665</v>
      </c>
      <c r="C94" s="568"/>
      <c r="D94" s="569" t="e">
        <f>+#REF!</f>
        <v>#REF!</v>
      </c>
    </row>
    <row r="95" spans="2:9">
      <c r="B95" s="564" t="s">
        <v>666</v>
      </c>
      <c r="C95" s="570"/>
      <c r="D95" s="566" t="e">
        <f>+D93+D94</f>
        <v>#REF!</v>
      </c>
    </row>
    <row r="96" spans="2:9">
      <c r="B96" s="571" t="s">
        <v>667</v>
      </c>
      <c r="C96" s="572"/>
      <c r="D96" s="573" t="e">
        <f>+D93+D94*'[15]retiros o dividendos ejercicio'!I30</f>
        <v>#REF!</v>
      </c>
    </row>
    <row r="97" spans="2:4">
      <c r="B97" s="574">
        <v>0.04</v>
      </c>
      <c r="D97" s="573" t="e">
        <f>+D96*B97</f>
        <v>#REF!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45"/>
  <sheetViews>
    <sheetView topLeftCell="A7" zoomScale="80" zoomScaleNormal="80" workbookViewId="0">
      <pane ySplit="7" topLeftCell="A29" activePane="bottomLeft" state="frozen"/>
      <selection activeCell="A7" sqref="A7"/>
      <selection pane="bottomLeft" activeCell="V43" sqref="V43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hidden="1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11.42578125" hidden="1" customWidth="1"/>
    <col min="18" max="18" width="12.5703125" hidden="1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8" max="28" width="11.42578125" hidden="1" customWidth="1"/>
    <col min="29" max="29" width="12" hidden="1" customWidth="1"/>
    <col min="30" max="31" width="11.42578125" hidden="1" customWidth="1"/>
    <col min="32" max="32" width="15.42578125" hidden="1" customWidth="1"/>
    <col min="33" max="33" width="12.7109375" hidden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92" t="s">
        <v>502</v>
      </c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792"/>
      <c r="AE8" s="792"/>
      <c r="AF8" s="792"/>
    </row>
    <row r="9" spans="2:37" ht="15.75" thickBot="1">
      <c r="I9" s="5"/>
      <c r="J9" s="5"/>
      <c r="K9" s="5"/>
      <c r="L9" s="5"/>
      <c r="M9" s="5"/>
      <c r="N9" s="5"/>
      <c r="O9" s="5"/>
      <c r="S9" s="790" t="s">
        <v>503</v>
      </c>
      <c r="T9" s="793"/>
      <c r="U9" s="793"/>
      <c r="V9" s="793"/>
      <c r="W9" s="793"/>
      <c r="X9" s="793"/>
      <c r="Y9" s="793"/>
      <c r="Z9" s="793"/>
      <c r="AA9" s="793"/>
      <c r="AB9" s="794" t="s">
        <v>504</v>
      </c>
      <c r="AC9" s="795"/>
      <c r="AD9" s="795"/>
      <c r="AE9" s="795"/>
      <c r="AF9" s="796"/>
      <c r="AG9" s="797" t="s">
        <v>505</v>
      </c>
    </row>
    <row r="10" spans="2:37" ht="26.25" customHeight="1" thickBot="1">
      <c r="B10" s="800" t="s">
        <v>506</v>
      </c>
      <c r="C10" s="417"/>
      <c r="D10" s="418"/>
      <c r="E10" s="803" t="s">
        <v>507</v>
      </c>
      <c r="F10" s="803"/>
      <c r="G10" s="804"/>
      <c r="H10" s="809" t="s">
        <v>508</v>
      </c>
      <c r="I10" s="812" t="s">
        <v>509</v>
      </c>
      <c r="J10" s="812" t="s">
        <v>510</v>
      </c>
      <c r="K10" s="815" t="s">
        <v>511</v>
      </c>
      <c r="L10" s="816"/>
      <c r="M10" s="816"/>
      <c r="N10" s="816"/>
      <c r="O10" s="816"/>
      <c r="P10" s="816"/>
      <c r="Q10" s="816"/>
      <c r="R10" s="816"/>
      <c r="S10" s="787" t="s">
        <v>512</v>
      </c>
      <c r="T10" s="788"/>
      <c r="U10" s="788"/>
      <c r="V10" s="789"/>
      <c r="W10" s="790" t="s">
        <v>513</v>
      </c>
      <c r="X10" s="791"/>
      <c r="Y10" s="790" t="s">
        <v>513</v>
      </c>
      <c r="Z10" s="791"/>
      <c r="AA10" s="420" t="s">
        <v>514</v>
      </c>
      <c r="AB10" s="817" t="s">
        <v>515</v>
      </c>
      <c r="AC10" s="818"/>
      <c r="AD10" s="818"/>
      <c r="AE10" s="819"/>
      <c r="AF10" s="422" t="s">
        <v>514</v>
      </c>
      <c r="AG10" s="798"/>
    </row>
    <row r="11" spans="2:37" ht="26.25" customHeight="1" thickBot="1">
      <c r="B11" s="801"/>
      <c r="C11" s="423"/>
      <c r="D11" s="424"/>
      <c r="E11" s="805"/>
      <c r="F11" s="805"/>
      <c r="G11" s="806"/>
      <c r="H11" s="810"/>
      <c r="I11" s="813"/>
      <c r="J11" s="813"/>
      <c r="K11" s="425"/>
      <c r="L11" s="426"/>
      <c r="M11" s="426"/>
      <c r="N11" s="426"/>
      <c r="O11" s="426"/>
      <c r="P11" s="426"/>
      <c r="Q11" s="426"/>
      <c r="R11" s="427"/>
      <c r="S11" s="820" t="s">
        <v>516</v>
      </c>
      <c r="T11" s="821"/>
      <c r="U11" s="820" t="s">
        <v>517</v>
      </c>
      <c r="V11" s="821"/>
      <c r="W11" s="820" t="s">
        <v>518</v>
      </c>
      <c r="X11" s="821"/>
      <c r="Y11" s="822" t="s">
        <v>519</v>
      </c>
      <c r="Z11" s="823"/>
      <c r="AA11" s="428" t="s">
        <v>520</v>
      </c>
      <c r="AB11" s="429"/>
      <c r="AC11" s="430"/>
      <c r="AD11" s="778" t="s">
        <v>519</v>
      </c>
      <c r="AE11" s="779"/>
      <c r="AF11" s="422" t="s">
        <v>520</v>
      </c>
      <c r="AG11" s="798"/>
    </row>
    <row r="12" spans="2:37" ht="15" customHeight="1" thickBot="1">
      <c r="B12" s="801"/>
      <c r="C12" s="423"/>
      <c r="D12" s="424"/>
      <c r="E12" s="805"/>
      <c r="F12" s="805"/>
      <c r="G12" s="806"/>
      <c r="H12" s="810"/>
      <c r="I12" s="813"/>
      <c r="J12" s="813"/>
      <c r="K12" s="780" t="s">
        <v>521</v>
      </c>
      <c r="L12" s="781"/>
      <c r="M12" s="781"/>
      <c r="N12" s="781"/>
      <c r="O12" s="782"/>
      <c r="P12" s="783" t="s">
        <v>522</v>
      </c>
      <c r="Q12" s="784"/>
      <c r="R12" s="785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98"/>
    </row>
    <row r="13" spans="2:37" s="9" customFormat="1" ht="180.75" thickBot="1">
      <c r="B13" s="802"/>
      <c r="C13" s="439"/>
      <c r="D13" s="440"/>
      <c r="E13" s="807"/>
      <c r="F13" s="807"/>
      <c r="G13" s="808"/>
      <c r="H13" s="811"/>
      <c r="I13" s="814"/>
      <c r="J13" s="814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786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7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99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37806610</v>
      </c>
      <c r="I14" s="303">
        <v>37806610</v>
      </c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>
        <v>2547800</v>
      </c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37806610</v>
      </c>
      <c r="I16" s="462">
        <f t="shared" ref="I16:AG16" si="0">+I14</f>
        <v>37806610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2547800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37806610</v>
      </c>
      <c r="I17" s="467">
        <f>+I16</f>
        <v>37806610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>
        <v>59000000</v>
      </c>
      <c r="F20" s="473"/>
      <c r="G20" s="469"/>
      <c r="H20" s="466">
        <f>SUM(I20:R20)</f>
        <v>59000000</v>
      </c>
      <c r="I20" s="303">
        <f>+E20</f>
        <v>59000000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+'[15]BASE IMPONIBLE'!F18+'[15]BASE IMPONIBLE'!F24+'[15]BASE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/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>
        <f>+E23*F23</f>
        <v>0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8.75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8.75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SUM(I27:R27)</f>
        <v>59000000</v>
      </c>
      <c r="I27" s="462">
        <f>+I16-I17+I20</f>
        <v>59000000</v>
      </c>
      <c r="J27" s="462">
        <f t="shared" ref="J27" si="2">SUM(K27:T28)</f>
        <v>0</v>
      </c>
      <c r="K27" s="462">
        <f>SUM(K16:K26)</f>
        <v>0</v>
      </c>
      <c r="L27" s="462">
        <f t="shared" ref="L27:AG27" si="3">SUM(L16:L26)</f>
        <v>0</v>
      </c>
      <c r="M27" s="462">
        <f t="shared" si="3"/>
        <v>0</v>
      </c>
      <c r="N27" s="462">
        <f t="shared" si="3"/>
        <v>0</v>
      </c>
      <c r="O27" s="462">
        <f t="shared" si="3"/>
        <v>0</v>
      </c>
      <c r="P27" s="462">
        <f t="shared" si="3"/>
        <v>0</v>
      </c>
      <c r="Q27" s="462">
        <f t="shared" si="3"/>
        <v>0</v>
      </c>
      <c r="R27" s="462">
        <f t="shared" si="3"/>
        <v>0</v>
      </c>
      <c r="S27" s="462">
        <f t="shared" si="3"/>
        <v>0</v>
      </c>
      <c r="T27" s="462">
        <f t="shared" si="3"/>
        <v>0</v>
      </c>
      <c r="U27" s="462">
        <f t="shared" si="3"/>
        <v>0</v>
      </c>
      <c r="V27" s="462">
        <f t="shared" si="3"/>
        <v>2547800</v>
      </c>
      <c r="W27" s="462">
        <f t="shared" si="3"/>
        <v>0</v>
      </c>
      <c r="X27" s="462">
        <f t="shared" si="3"/>
        <v>0</v>
      </c>
      <c r="Y27" s="462">
        <f t="shared" si="3"/>
        <v>0</v>
      </c>
      <c r="Z27" s="462">
        <f t="shared" si="3"/>
        <v>0</v>
      </c>
      <c r="AA27" s="462">
        <f t="shared" si="3"/>
        <v>0</v>
      </c>
      <c r="AB27" s="462">
        <f t="shared" si="3"/>
        <v>0</v>
      </c>
      <c r="AC27" s="462">
        <f t="shared" si="3"/>
        <v>0</v>
      </c>
      <c r="AD27" s="462">
        <f t="shared" si="3"/>
        <v>0</v>
      </c>
      <c r="AE27" s="462">
        <f t="shared" si="3"/>
        <v>0</v>
      </c>
      <c r="AF27" s="462">
        <f t="shared" si="3"/>
        <v>0</v>
      </c>
      <c r="AG27" s="462">
        <f t="shared" si="3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ht="18.75">
      <c r="B29" s="575" t="s">
        <v>569</v>
      </c>
      <c r="C29" s="501">
        <v>20000000</v>
      </c>
      <c r="D29" s="501"/>
      <c r="E29" s="469"/>
      <c r="F29" s="25"/>
      <c r="G29" s="25"/>
      <c r="H29" s="452">
        <f t="shared" ref="H29" si="4">SUM(I29:R29)</f>
        <v>-20000000</v>
      </c>
      <c r="I29" s="487">
        <f>-C29</f>
        <v>-20000000</v>
      </c>
      <c r="J29" s="487"/>
      <c r="K29" s="487"/>
      <c r="L29" s="487"/>
      <c r="M29" s="487"/>
      <c r="N29" s="487"/>
      <c r="O29" s="487"/>
      <c r="P29" s="487"/>
      <c r="Q29" s="487"/>
      <c r="R29" s="487"/>
      <c r="S29" s="488"/>
      <c r="T29" s="488"/>
      <c r="U29" s="488"/>
      <c r="V29" s="488">
        <f>+I29*X12</f>
        <v>-2222220</v>
      </c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I29" s="489"/>
      <c r="AJ29" s="489"/>
    </row>
    <row r="30" spans="2:36" ht="19.5" thickBot="1">
      <c r="B30" s="639"/>
      <c r="C30" s="640"/>
      <c r="D30" s="640"/>
      <c r="E30" s="641"/>
      <c r="F30" s="642"/>
      <c r="G30" s="642"/>
      <c r="H30" s="643"/>
      <c r="I30" s="644"/>
      <c r="J30" s="644"/>
      <c r="K30" s="644"/>
      <c r="L30" s="644"/>
      <c r="M30" s="644"/>
      <c r="N30" s="644"/>
      <c r="O30" s="644"/>
      <c r="P30" s="644"/>
      <c r="Q30" s="644"/>
      <c r="R30" s="644"/>
      <c r="S30" s="645"/>
      <c r="T30" s="645"/>
      <c r="U30" s="645"/>
      <c r="V30" s="645"/>
      <c r="W30" s="644"/>
      <c r="X30" s="644"/>
      <c r="Y30" s="644"/>
      <c r="Z30" s="644"/>
      <c r="AA30" s="644"/>
      <c r="AB30" s="644"/>
      <c r="AC30" s="644"/>
      <c r="AD30" s="644"/>
      <c r="AE30" s="644"/>
      <c r="AF30" s="644"/>
      <c r="AG30" s="644"/>
      <c r="AI30" s="489"/>
      <c r="AJ30" s="489"/>
    </row>
    <row r="31" spans="2:36" ht="19.5" thickBot="1">
      <c r="B31" s="498" t="s">
        <v>570</v>
      </c>
      <c r="C31" s="499"/>
      <c r="D31" s="576">
        <f>SUM(D29:D29)</f>
        <v>0</v>
      </c>
      <c r="E31" s="462"/>
      <c r="F31" s="462"/>
      <c r="G31" s="462"/>
      <c r="H31" s="462">
        <f t="shared" ref="H31:AG31" si="5">SUM(H29:H29)</f>
        <v>-20000000</v>
      </c>
      <c r="I31" s="462">
        <f t="shared" si="5"/>
        <v>-20000000</v>
      </c>
      <c r="J31" s="462">
        <f t="shared" si="5"/>
        <v>0</v>
      </c>
      <c r="K31" s="462">
        <f t="shared" si="5"/>
        <v>0</v>
      </c>
      <c r="L31" s="462">
        <f t="shared" si="5"/>
        <v>0</v>
      </c>
      <c r="M31" s="462">
        <f t="shared" si="5"/>
        <v>0</v>
      </c>
      <c r="N31" s="462">
        <f t="shared" si="5"/>
        <v>0</v>
      </c>
      <c r="O31" s="462">
        <f t="shared" si="5"/>
        <v>0</v>
      </c>
      <c r="P31" s="462">
        <f t="shared" si="5"/>
        <v>0</v>
      </c>
      <c r="Q31" s="462">
        <f t="shared" si="5"/>
        <v>0</v>
      </c>
      <c r="R31" s="462">
        <f t="shared" si="5"/>
        <v>0</v>
      </c>
      <c r="S31" s="462">
        <f t="shared" si="5"/>
        <v>0</v>
      </c>
      <c r="T31" s="462">
        <f t="shared" si="5"/>
        <v>0</v>
      </c>
      <c r="U31" s="462">
        <f t="shared" si="5"/>
        <v>0</v>
      </c>
      <c r="V31" s="462">
        <f t="shared" si="5"/>
        <v>-2222220</v>
      </c>
      <c r="W31" s="462">
        <f t="shared" si="5"/>
        <v>0</v>
      </c>
      <c r="X31" s="462">
        <f t="shared" si="5"/>
        <v>0</v>
      </c>
      <c r="Y31" s="462">
        <f t="shared" si="5"/>
        <v>0</v>
      </c>
      <c r="Z31" s="462">
        <f t="shared" si="5"/>
        <v>0</v>
      </c>
      <c r="AA31" s="462">
        <f t="shared" si="5"/>
        <v>0</v>
      </c>
      <c r="AB31" s="462">
        <f t="shared" si="5"/>
        <v>0</v>
      </c>
      <c r="AC31" s="462">
        <f t="shared" si="5"/>
        <v>0</v>
      </c>
      <c r="AD31" s="462">
        <f t="shared" si="5"/>
        <v>0</v>
      </c>
      <c r="AE31" s="462">
        <f t="shared" si="5"/>
        <v>0</v>
      </c>
      <c r="AF31" s="462">
        <f t="shared" si="5"/>
        <v>0</v>
      </c>
      <c r="AG31" s="462">
        <f t="shared" si="5"/>
        <v>0</v>
      </c>
      <c r="AI31" s="5"/>
      <c r="AJ31" s="5"/>
    </row>
    <row r="32" spans="2:36" ht="18.75">
      <c r="B32" s="501" t="s">
        <v>571</v>
      </c>
      <c r="C32" s="501"/>
      <c r="D32" s="501"/>
      <c r="E32" s="25"/>
      <c r="F32" s="487"/>
      <c r="G32" s="493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88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s="9" customFormat="1" ht="18.75">
      <c r="B33" s="502" t="s">
        <v>572</v>
      </c>
      <c r="C33" s="502"/>
      <c r="D33" s="502"/>
      <c r="E33" s="493"/>
      <c r="F33" s="487"/>
      <c r="G33" s="474"/>
      <c r="H33" s="487"/>
      <c r="I33" s="487"/>
      <c r="J33" s="493"/>
      <c r="K33" s="493"/>
      <c r="L33" s="493"/>
      <c r="M33" s="493"/>
      <c r="N33" s="493"/>
      <c r="O33" s="493"/>
      <c r="P33" s="493"/>
      <c r="Q33" s="493"/>
      <c r="R33" s="493"/>
      <c r="S33" s="494"/>
      <c r="T33" s="494"/>
      <c r="U33" s="494"/>
      <c r="V33" s="494"/>
      <c r="W33" s="493"/>
      <c r="X33" s="493"/>
      <c r="Y33" s="493"/>
      <c r="Z33" s="493"/>
      <c r="AA33" s="492"/>
      <c r="AB33" s="493"/>
      <c r="AC33" s="493"/>
      <c r="AD33" s="493"/>
      <c r="AE33" s="493"/>
      <c r="AF33" s="493"/>
      <c r="AG33" s="493"/>
      <c r="AH33" s="415"/>
      <c r="AI33" s="503"/>
      <c r="AJ33" s="464"/>
    </row>
    <row r="34" spans="2:36" s="9" customFormat="1" ht="18.75">
      <c r="B34" s="502" t="s">
        <v>573</v>
      </c>
      <c r="C34" s="502"/>
      <c r="D34" s="502"/>
      <c r="E34" s="493"/>
      <c r="F34" s="487"/>
      <c r="G34" s="474"/>
      <c r="H34" s="487"/>
      <c r="I34" s="487"/>
      <c r="J34" s="493"/>
      <c r="K34" s="493"/>
      <c r="L34" s="493"/>
      <c r="M34" s="493"/>
      <c r="N34" s="493"/>
      <c r="O34" s="493"/>
      <c r="P34" s="493"/>
      <c r="Q34" s="493"/>
      <c r="R34" s="493"/>
      <c r="S34" s="494"/>
      <c r="T34" s="494"/>
      <c r="U34" s="494"/>
      <c r="V34" s="494"/>
      <c r="W34" s="493"/>
      <c r="X34" s="493"/>
      <c r="Y34" s="493"/>
      <c r="Z34" s="493"/>
      <c r="AA34" s="492"/>
      <c r="AB34" s="493"/>
      <c r="AC34" s="493"/>
      <c r="AD34" s="493"/>
      <c r="AE34" s="493"/>
      <c r="AF34" s="493"/>
      <c r="AG34" s="493"/>
      <c r="AH34" s="415"/>
      <c r="AI34" s="503"/>
      <c r="AJ34" s="464"/>
    </row>
    <row r="35" spans="2:36" s="9" customFormat="1" ht="18.75">
      <c r="B35" s="502" t="s">
        <v>574</v>
      </c>
      <c r="C35" s="502"/>
      <c r="D35" s="502"/>
      <c r="E35" s="493"/>
      <c r="F35" s="487"/>
      <c r="G35" s="474"/>
      <c r="H35" s="487"/>
      <c r="I35" s="487"/>
      <c r="J35" s="493"/>
      <c r="K35" s="493"/>
      <c r="L35" s="493"/>
      <c r="M35" s="493"/>
      <c r="N35" s="493"/>
      <c r="O35" s="493"/>
      <c r="P35" s="493"/>
      <c r="Q35" s="493"/>
      <c r="R35" s="493"/>
      <c r="S35" s="494"/>
      <c r="T35" s="494"/>
      <c r="U35" s="494"/>
      <c r="V35" s="494"/>
      <c r="W35" s="493"/>
      <c r="X35" s="493"/>
      <c r="Y35" s="493"/>
      <c r="Z35" s="493"/>
      <c r="AA35" s="492"/>
      <c r="AB35" s="493"/>
      <c r="AC35" s="493"/>
      <c r="AD35" s="493"/>
      <c r="AE35" s="493"/>
      <c r="AF35" s="493"/>
      <c r="AG35" s="493"/>
      <c r="AH35" s="415"/>
      <c r="AI35" s="503"/>
      <c r="AJ35" s="464"/>
    </row>
    <row r="36" spans="2:36" s="9" customFormat="1" ht="18.75">
      <c r="B36" s="502" t="s">
        <v>575</v>
      </c>
      <c r="C36" s="502"/>
      <c r="D36" s="502"/>
      <c r="E36" s="493"/>
      <c r="F36" s="487"/>
      <c r="G36" s="474"/>
      <c r="H36" s="487"/>
      <c r="I36" s="487"/>
      <c r="J36" s="493"/>
      <c r="K36" s="493"/>
      <c r="L36" s="493"/>
      <c r="M36" s="493"/>
      <c r="N36" s="493"/>
      <c r="O36" s="493"/>
      <c r="P36" s="493"/>
      <c r="Q36" s="493"/>
      <c r="R36" s="493"/>
      <c r="S36" s="494"/>
      <c r="T36" s="494"/>
      <c r="U36" s="494"/>
      <c r="V36" s="494"/>
      <c r="W36" s="493"/>
      <c r="X36" s="493"/>
      <c r="Y36" s="493"/>
      <c r="Z36" s="493"/>
      <c r="AA36" s="492"/>
      <c r="AB36" s="493"/>
      <c r="AC36" s="493"/>
      <c r="AD36" s="493"/>
      <c r="AE36" s="493"/>
      <c r="AF36" s="493"/>
      <c r="AG36" s="493"/>
      <c r="AH36" s="415"/>
      <c r="AI36" s="503"/>
      <c r="AJ36" s="464"/>
    </row>
    <row r="37" spans="2:36" s="9" customFormat="1" ht="18.75">
      <c r="B37" s="502" t="s">
        <v>576</v>
      </c>
      <c r="C37" s="502"/>
      <c r="D37" s="502"/>
      <c r="E37" s="493"/>
      <c r="F37" s="487"/>
      <c r="G37" s="474"/>
      <c r="H37" s="487"/>
      <c r="I37" s="487"/>
      <c r="J37" s="493"/>
      <c r="K37" s="493"/>
      <c r="L37" s="493"/>
      <c r="M37" s="493"/>
      <c r="N37" s="493"/>
      <c r="O37" s="493"/>
      <c r="P37" s="493"/>
      <c r="Q37" s="493"/>
      <c r="R37" s="493"/>
      <c r="S37" s="494"/>
      <c r="T37" s="494"/>
      <c r="U37" s="494"/>
      <c r="V37" s="494"/>
      <c r="W37" s="493"/>
      <c r="X37" s="493"/>
      <c r="Y37" s="493"/>
      <c r="Z37" s="493"/>
      <c r="AA37" s="492"/>
      <c r="AB37" s="493"/>
      <c r="AC37" s="493"/>
      <c r="AD37" s="493"/>
      <c r="AE37" s="493"/>
      <c r="AF37" s="493"/>
      <c r="AG37" s="493"/>
      <c r="AH37" s="415"/>
      <c r="AI37" s="503"/>
      <c r="AJ37" s="464"/>
    </row>
    <row r="38" spans="2:36" s="9" customFormat="1" ht="19.5" thickBot="1">
      <c r="B38" s="504" t="s">
        <v>577</v>
      </c>
      <c r="C38" s="504"/>
      <c r="D38" s="504"/>
      <c r="E38" s="497"/>
      <c r="F38" s="487"/>
      <c r="G38" s="474"/>
      <c r="H38" s="487"/>
      <c r="I38" s="487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494"/>
      <c r="U38" s="494"/>
      <c r="V38" s="494"/>
      <c r="W38" s="493"/>
      <c r="X38" s="493"/>
      <c r="Y38" s="493"/>
      <c r="Z38" s="493"/>
      <c r="AA38" s="492"/>
      <c r="AB38" s="493"/>
      <c r="AC38" s="493"/>
      <c r="AD38" s="493"/>
      <c r="AE38" s="493"/>
      <c r="AF38" s="493"/>
      <c r="AG38" s="493"/>
      <c r="AH38" s="415"/>
      <c r="AI38" s="503"/>
      <c r="AJ38" s="464"/>
    </row>
    <row r="39" spans="2:36" s="9" customFormat="1" ht="19.5" thickBot="1">
      <c r="B39" s="498" t="s">
        <v>578</v>
      </c>
      <c r="C39" s="505"/>
      <c r="D39" s="505"/>
      <c r="E39" s="506">
        <f>SUM(E33:E38)</f>
        <v>0</v>
      </c>
      <c r="F39" s="507"/>
      <c r="G39" s="474"/>
      <c r="H39" s="487"/>
      <c r="I39" s="487"/>
      <c r="J39" s="493"/>
      <c r="K39" s="493"/>
      <c r="L39" s="493"/>
      <c r="M39" s="493"/>
      <c r="N39" s="493"/>
      <c r="O39" s="493"/>
      <c r="P39" s="493"/>
      <c r="Q39" s="493"/>
      <c r="R39" s="493"/>
      <c r="S39" s="494"/>
      <c r="T39" s="494"/>
      <c r="U39" s="494"/>
      <c r="V39" s="494"/>
      <c r="W39" s="493"/>
      <c r="X39" s="493"/>
      <c r="Y39" s="493"/>
      <c r="Z39" s="493"/>
      <c r="AA39" s="492"/>
      <c r="AB39" s="493"/>
      <c r="AC39" s="493"/>
      <c r="AD39" s="493"/>
      <c r="AE39" s="493"/>
      <c r="AF39" s="493"/>
      <c r="AG39" s="493"/>
      <c r="AH39" s="415"/>
      <c r="AI39" s="503"/>
      <c r="AJ39" s="464"/>
    </row>
    <row r="40" spans="2:36" s="9" customFormat="1" ht="18.75">
      <c r="B40" s="508" t="s">
        <v>579</v>
      </c>
      <c r="C40" s="508"/>
      <c r="D40" s="508"/>
      <c r="E40" s="509"/>
      <c r="F40" s="487"/>
      <c r="G40" s="474"/>
      <c r="H40" s="487"/>
      <c r="I40" s="487"/>
      <c r="J40" s="493"/>
      <c r="K40" s="493"/>
      <c r="L40" s="493"/>
      <c r="M40" s="493"/>
      <c r="N40" s="493"/>
      <c r="O40" s="493"/>
      <c r="P40" s="493"/>
      <c r="Q40" s="493"/>
      <c r="R40" s="493"/>
      <c r="S40" s="494"/>
      <c r="T40" s="494"/>
      <c r="U40" s="494"/>
      <c r="V40" s="494"/>
      <c r="W40" s="493"/>
      <c r="X40" s="493"/>
      <c r="Y40" s="493"/>
      <c r="Z40" s="493"/>
      <c r="AA40" s="492"/>
      <c r="AB40" s="493"/>
      <c r="AC40" s="493"/>
      <c r="AD40" s="493"/>
      <c r="AE40" s="493"/>
      <c r="AF40" s="493"/>
      <c r="AG40" s="493"/>
      <c r="AH40" s="415"/>
      <c r="AI40" s="503"/>
      <c r="AJ40" s="464"/>
    </row>
    <row r="41" spans="2:36" s="9" customFormat="1" ht="18.75">
      <c r="B41" s="502" t="s">
        <v>580</v>
      </c>
      <c r="C41" s="502"/>
      <c r="D41" s="502"/>
      <c r="E41" s="510">
        <f>+'[15]BASE IMPONIBLE'!G47</f>
        <v>0</v>
      </c>
      <c r="F41" s="487"/>
      <c r="G41" s="474"/>
      <c r="H41" s="487"/>
      <c r="I41" s="487"/>
      <c r="J41" s="493"/>
      <c r="K41" s="493"/>
      <c r="L41" s="493"/>
      <c r="M41" s="493"/>
      <c r="N41" s="493"/>
      <c r="O41" s="493"/>
      <c r="P41" s="493"/>
      <c r="Q41" s="493"/>
      <c r="R41" s="493"/>
      <c r="S41" s="494"/>
      <c r="T41" s="494"/>
      <c r="U41" s="494"/>
      <c r="V41" s="494">
        <f>-E41*X12</f>
        <v>0</v>
      </c>
      <c r="W41" s="493"/>
      <c r="X41" s="493"/>
      <c r="Y41" s="493"/>
      <c r="Z41" s="493"/>
      <c r="AA41" s="492"/>
      <c r="AB41" s="493"/>
      <c r="AC41" s="493"/>
      <c r="AD41" s="493"/>
      <c r="AE41" s="493"/>
      <c r="AF41" s="493"/>
      <c r="AG41" s="493"/>
      <c r="AH41" s="415"/>
      <c r="AI41" s="503"/>
      <c r="AJ41" s="464"/>
    </row>
    <row r="42" spans="2:36" ht="19.5" thickBot="1">
      <c r="B42" s="504" t="s">
        <v>581</v>
      </c>
      <c r="C42" s="504"/>
      <c r="D42" s="504"/>
      <c r="E42" s="511"/>
      <c r="F42" s="457"/>
      <c r="G42" s="457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82"/>
      <c r="T42" s="482"/>
      <c r="U42" s="482"/>
      <c r="V42" s="482">
        <f>+E42*0.111111</f>
        <v>0</v>
      </c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I42" s="5"/>
      <c r="AJ42" s="5"/>
    </row>
    <row r="43" spans="2:36" s="9" customFormat="1" ht="19.5" thickBot="1">
      <c r="B43" s="498" t="s">
        <v>582</v>
      </c>
      <c r="C43" s="499"/>
      <c r="D43" s="499"/>
      <c r="E43" s="512"/>
      <c r="F43" s="512"/>
      <c r="G43" s="512"/>
      <c r="H43" s="462">
        <f t="shared" ref="H43:AG43" si="6">+H27+H31</f>
        <v>39000000</v>
      </c>
      <c r="I43" s="462">
        <f t="shared" si="6"/>
        <v>39000000</v>
      </c>
      <c r="J43" s="462">
        <f t="shared" si="6"/>
        <v>0</v>
      </c>
      <c r="K43" s="462">
        <f t="shared" si="6"/>
        <v>0</v>
      </c>
      <c r="L43" s="462">
        <f t="shared" si="6"/>
        <v>0</v>
      </c>
      <c r="M43" s="462">
        <f t="shared" si="6"/>
        <v>0</v>
      </c>
      <c r="N43" s="462">
        <f t="shared" si="6"/>
        <v>0</v>
      </c>
      <c r="O43" s="462">
        <f t="shared" si="6"/>
        <v>0</v>
      </c>
      <c r="P43" s="462">
        <f t="shared" si="6"/>
        <v>0</v>
      </c>
      <c r="Q43" s="462">
        <f t="shared" si="6"/>
        <v>0</v>
      </c>
      <c r="R43" s="462">
        <f t="shared" si="6"/>
        <v>0</v>
      </c>
      <c r="S43" s="462">
        <f t="shared" si="6"/>
        <v>0</v>
      </c>
      <c r="T43" s="462">
        <f t="shared" si="6"/>
        <v>0</v>
      </c>
      <c r="U43" s="462">
        <f t="shared" si="6"/>
        <v>0</v>
      </c>
      <c r="V43" s="462">
        <f t="shared" si="6"/>
        <v>325580</v>
      </c>
      <c r="W43" s="462">
        <f t="shared" si="6"/>
        <v>0</v>
      </c>
      <c r="X43" s="462">
        <f t="shared" si="6"/>
        <v>0</v>
      </c>
      <c r="Y43" s="462">
        <f t="shared" si="6"/>
        <v>0</v>
      </c>
      <c r="Z43" s="462">
        <f t="shared" si="6"/>
        <v>0</v>
      </c>
      <c r="AA43" s="462">
        <f t="shared" si="6"/>
        <v>0</v>
      </c>
      <c r="AB43" s="462">
        <f t="shared" si="6"/>
        <v>0</v>
      </c>
      <c r="AC43" s="462">
        <f t="shared" si="6"/>
        <v>0</v>
      </c>
      <c r="AD43" s="462">
        <f t="shared" si="6"/>
        <v>0</v>
      </c>
      <c r="AE43" s="462">
        <f t="shared" si="6"/>
        <v>0</v>
      </c>
      <c r="AF43" s="462">
        <f t="shared" si="6"/>
        <v>0</v>
      </c>
      <c r="AG43" s="462">
        <f t="shared" si="6"/>
        <v>0</v>
      </c>
      <c r="AH43" s="415"/>
      <c r="AI43" s="464">
        <f>SUM(AI16:AI33)</f>
        <v>0</v>
      </c>
      <c r="AJ43" s="464"/>
    </row>
    <row r="44" spans="2:36" ht="18.75">
      <c r="B44" s="148"/>
      <c r="C44" s="148"/>
      <c r="D44" s="14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14"/>
      <c r="T44" s="414"/>
      <c r="U44" s="414"/>
      <c r="V44" s="414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I44" s="5"/>
      <c r="AJ44" s="5"/>
    </row>
    <row r="45" spans="2:36">
      <c r="V45" s="414"/>
    </row>
  </sheetData>
  <mergeCells count="22"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  <mergeCell ref="AD11:AE11"/>
    <mergeCell ref="K12:O12"/>
    <mergeCell ref="P12:Q12"/>
    <mergeCell ref="R12:R13"/>
    <mergeCell ref="S10:V10"/>
    <mergeCell ref="W10:X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opLeftCell="A10" zoomScaleNormal="100" workbookViewId="0">
      <selection activeCell="L24" sqref="L24:P24"/>
    </sheetView>
  </sheetViews>
  <sheetFormatPr baseColWidth="10" defaultColWidth="11.5703125" defaultRowHeight="1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4" customWidth="1"/>
    <col min="18" max="18" width="6" style="513" customWidth="1"/>
    <col min="19" max="19" width="9.140625" style="515" customWidth="1"/>
    <col min="20" max="20" width="7" style="513" customWidth="1"/>
    <col min="21" max="21" width="8.4257812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6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6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6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6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6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6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6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6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6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6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6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6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6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6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6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6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6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6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6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6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6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6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6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6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6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6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6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6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6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6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6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6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6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6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6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6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6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6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6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6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6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6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6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6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6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6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6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6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6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6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6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6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6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6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6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6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6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6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6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6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6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6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6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3" ht="15.75" thickBot="1"/>
    <row r="2" spans="3:23">
      <c r="C2" s="744" t="s">
        <v>583</v>
      </c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6"/>
    </row>
    <row r="3" spans="3:23" ht="28.7" customHeight="1" thickBot="1">
      <c r="C3" s="747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/>
    </row>
    <row r="4" spans="3:23" ht="27" customHeight="1">
      <c r="C4" s="516" t="s">
        <v>584</v>
      </c>
      <c r="D4" s="517"/>
      <c r="E4" s="517"/>
      <c r="F4" s="517"/>
      <c r="G4" s="517"/>
      <c r="H4" s="517"/>
      <c r="I4" s="517"/>
      <c r="J4" s="517"/>
      <c r="K4" s="296">
        <v>1445</v>
      </c>
      <c r="L4" s="750">
        <f>+'R19 los andes at 2023'!L24:P24</f>
        <v>63453127.731092453</v>
      </c>
      <c r="M4" s="750"/>
      <c r="N4" s="750"/>
      <c r="O4" s="750"/>
      <c r="P4" s="750"/>
      <c r="Q4" s="518" t="s">
        <v>424</v>
      </c>
      <c r="S4" s="515" t="s">
        <v>585</v>
      </c>
      <c r="V4" s="515"/>
      <c r="W4" s="515"/>
    </row>
    <row r="5" spans="3:23" ht="27" customHeight="1">
      <c r="C5" s="519" t="s">
        <v>586</v>
      </c>
      <c r="D5" s="520"/>
      <c r="E5" s="520"/>
      <c r="F5" s="520"/>
      <c r="G5" s="520"/>
      <c r="H5" s="520"/>
      <c r="I5" s="520"/>
      <c r="J5" s="520"/>
      <c r="K5" s="313">
        <v>1446</v>
      </c>
      <c r="L5" s="751"/>
      <c r="M5" s="751"/>
      <c r="N5" s="751"/>
      <c r="O5" s="751"/>
      <c r="P5" s="751"/>
      <c r="Q5" s="521" t="s">
        <v>448</v>
      </c>
      <c r="S5" s="515" t="s">
        <v>585</v>
      </c>
      <c r="V5" s="515"/>
    </row>
    <row r="6" spans="3:23" ht="27" customHeight="1">
      <c r="C6" s="519" t="s">
        <v>587</v>
      </c>
      <c r="D6" s="520"/>
      <c r="E6" s="520"/>
      <c r="F6" s="520"/>
      <c r="G6" s="520"/>
      <c r="H6" s="520"/>
      <c r="I6" s="520"/>
      <c r="J6" s="520"/>
      <c r="K6" s="313">
        <v>1374</v>
      </c>
      <c r="L6" s="751"/>
      <c r="M6" s="751"/>
      <c r="N6" s="751"/>
      <c r="O6" s="751"/>
      <c r="P6" s="751"/>
      <c r="Q6" s="522" t="s">
        <v>424</v>
      </c>
      <c r="S6" s="515" t="s">
        <v>588</v>
      </c>
    </row>
    <row r="7" spans="3:23" ht="27" customHeight="1">
      <c r="C7" s="523" t="s">
        <v>589</v>
      </c>
      <c r="D7" s="524"/>
      <c r="E7" s="524"/>
      <c r="F7" s="524"/>
      <c r="G7" s="524"/>
      <c r="H7" s="524"/>
      <c r="I7" s="524"/>
      <c r="J7" s="524"/>
      <c r="K7" s="525">
        <v>1375</v>
      </c>
      <c r="L7" s="752"/>
      <c r="M7" s="752"/>
      <c r="N7" s="752"/>
      <c r="O7" s="752"/>
      <c r="P7" s="752"/>
      <c r="Q7" s="526" t="s">
        <v>424</v>
      </c>
    </row>
    <row r="8" spans="3:23" ht="27" customHeight="1">
      <c r="C8" s="753" t="s">
        <v>590</v>
      </c>
      <c r="D8" s="754"/>
      <c r="E8" s="754"/>
      <c r="F8" s="754"/>
      <c r="G8" s="754"/>
      <c r="H8" s="754"/>
      <c r="I8" s="754"/>
      <c r="J8" s="755"/>
      <c r="K8" s="313">
        <v>1376</v>
      </c>
      <c r="L8" s="756"/>
      <c r="M8" s="756"/>
      <c r="N8" s="756"/>
      <c r="O8" s="756"/>
      <c r="P8" s="756"/>
      <c r="Q8" s="527" t="s">
        <v>448</v>
      </c>
    </row>
    <row r="9" spans="3:23" ht="27" customHeight="1">
      <c r="C9" s="757" t="s">
        <v>591</v>
      </c>
      <c r="D9" s="758"/>
      <c r="E9" s="758"/>
      <c r="F9" s="758"/>
      <c r="G9" s="758"/>
      <c r="H9" s="758"/>
      <c r="I9" s="758"/>
      <c r="J9" s="759"/>
      <c r="K9" s="525">
        <v>1705</v>
      </c>
      <c r="L9" s="752">
        <f>+'base imponible  at 2024'!G69</f>
        <v>158201508.16806722</v>
      </c>
      <c r="M9" s="752"/>
      <c r="N9" s="752"/>
      <c r="O9" s="752"/>
      <c r="P9" s="752"/>
      <c r="Q9" s="526" t="s">
        <v>424</v>
      </c>
      <c r="S9" s="515" t="s">
        <v>592</v>
      </c>
      <c r="U9" s="513" t="s">
        <v>593</v>
      </c>
    </row>
    <row r="10" spans="3:23" ht="27" customHeight="1">
      <c r="C10" s="753" t="s">
        <v>487</v>
      </c>
      <c r="D10" s="754"/>
      <c r="E10" s="754"/>
      <c r="F10" s="754"/>
      <c r="G10" s="754"/>
      <c r="H10" s="754"/>
      <c r="I10" s="754"/>
      <c r="J10" s="755"/>
      <c r="K10" s="313">
        <v>1706</v>
      </c>
      <c r="L10" s="756"/>
      <c r="M10" s="756"/>
      <c r="N10" s="756"/>
      <c r="O10" s="756"/>
      <c r="P10" s="756"/>
      <c r="Q10" s="527" t="s">
        <v>448</v>
      </c>
      <c r="S10" s="515" t="s">
        <v>594</v>
      </c>
    </row>
    <row r="11" spans="3:23" ht="27" customHeight="1">
      <c r="C11" s="519" t="s">
        <v>470</v>
      </c>
      <c r="D11" s="520"/>
      <c r="E11" s="520"/>
      <c r="F11" s="520"/>
      <c r="G11" s="520"/>
      <c r="H11" s="520"/>
      <c r="I11" s="520"/>
      <c r="J11" s="520"/>
      <c r="K11" s="313">
        <v>1707</v>
      </c>
      <c r="L11" s="751">
        <f>+'base imponible  at 2024'!F52</f>
        <v>5566872.268907547</v>
      </c>
      <c r="M11" s="751"/>
      <c r="N11" s="751"/>
      <c r="O11" s="751"/>
      <c r="P11" s="751"/>
      <c r="Q11" s="522" t="s">
        <v>424</v>
      </c>
      <c r="S11" s="515" t="s">
        <v>595</v>
      </c>
    </row>
    <row r="12" spans="3:23" ht="27" customHeight="1">
      <c r="C12" s="738" t="s">
        <v>596</v>
      </c>
      <c r="D12" s="739"/>
      <c r="E12" s="739"/>
      <c r="F12" s="739"/>
      <c r="G12" s="739"/>
      <c r="H12" s="739"/>
      <c r="I12" s="739"/>
      <c r="J12" s="739"/>
      <c r="K12" s="301">
        <v>1377</v>
      </c>
      <c r="L12" s="737"/>
      <c r="M12" s="737"/>
      <c r="N12" s="737"/>
      <c r="O12" s="737"/>
      <c r="P12" s="737"/>
      <c r="Q12" s="528" t="s">
        <v>424</v>
      </c>
    </row>
    <row r="13" spans="3:23" ht="27" customHeight="1">
      <c r="C13" s="741" t="s">
        <v>597</v>
      </c>
      <c r="D13" s="742"/>
      <c r="E13" s="742"/>
      <c r="F13" s="742"/>
      <c r="G13" s="742"/>
      <c r="H13" s="742"/>
      <c r="I13" s="742"/>
      <c r="J13" s="743"/>
      <c r="K13" s="301">
        <v>1378</v>
      </c>
      <c r="L13" s="737"/>
      <c r="M13" s="737"/>
      <c r="N13" s="737"/>
      <c r="O13" s="737"/>
      <c r="P13" s="737"/>
      <c r="Q13" s="529" t="s">
        <v>448</v>
      </c>
    </row>
    <row r="14" spans="3:23" ht="27" customHeight="1">
      <c r="C14" s="741" t="s">
        <v>598</v>
      </c>
      <c r="D14" s="742"/>
      <c r="E14" s="742"/>
      <c r="F14" s="742"/>
      <c r="G14" s="742"/>
      <c r="H14" s="742"/>
      <c r="I14" s="742"/>
      <c r="J14" s="743"/>
      <c r="K14" s="301">
        <v>1726</v>
      </c>
      <c r="L14" s="737"/>
      <c r="M14" s="737"/>
      <c r="N14" s="737"/>
      <c r="O14" s="737"/>
      <c r="P14" s="737"/>
      <c r="Q14" s="528" t="s">
        <v>424</v>
      </c>
    </row>
    <row r="15" spans="3:23" ht="27" customHeight="1">
      <c r="C15" s="738" t="s">
        <v>599</v>
      </c>
      <c r="D15" s="739"/>
      <c r="E15" s="739"/>
      <c r="F15" s="739"/>
      <c r="G15" s="739"/>
      <c r="H15" s="739"/>
      <c r="I15" s="739"/>
      <c r="J15" s="739"/>
      <c r="K15" s="301">
        <v>1591</v>
      </c>
      <c r="L15" s="737"/>
      <c r="M15" s="737"/>
      <c r="N15" s="737"/>
      <c r="O15" s="737"/>
      <c r="P15" s="737"/>
      <c r="Q15" s="529" t="s">
        <v>448</v>
      </c>
    </row>
    <row r="16" spans="3:23" ht="27" customHeight="1">
      <c r="C16" s="738" t="s">
        <v>600</v>
      </c>
      <c r="D16" s="739"/>
      <c r="E16" s="739"/>
      <c r="F16" s="739"/>
      <c r="G16" s="739"/>
      <c r="H16" s="739"/>
      <c r="I16" s="739"/>
      <c r="J16" s="740"/>
      <c r="K16" s="301">
        <v>1479</v>
      </c>
      <c r="L16" s="737">
        <v>100000000</v>
      </c>
      <c r="M16" s="737"/>
      <c r="N16" s="737"/>
      <c r="O16" s="737"/>
      <c r="P16" s="737"/>
      <c r="Q16" s="529" t="s">
        <v>448</v>
      </c>
    </row>
    <row r="17" spans="3:17" ht="27" customHeight="1">
      <c r="C17" s="738" t="s">
        <v>601</v>
      </c>
      <c r="D17" s="739"/>
      <c r="E17" s="739"/>
      <c r="F17" s="739"/>
      <c r="G17" s="739"/>
      <c r="H17" s="739"/>
      <c r="I17" s="739"/>
      <c r="J17" s="739"/>
      <c r="K17" s="301">
        <v>1708</v>
      </c>
      <c r="L17" s="737"/>
      <c r="M17" s="737"/>
      <c r="N17" s="737"/>
      <c r="O17" s="737"/>
      <c r="P17" s="737"/>
      <c r="Q17" s="529" t="s">
        <v>448</v>
      </c>
    </row>
    <row r="18" spans="3:17" ht="27" customHeight="1">
      <c r="C18" s="738" t="s">
        <v>602</v>
      </c>
      <c r="D18" s="739"/>
      <c r="E18" s="739"/>
      <c r="F18" s="739"/>
      <c r="G18" s="739"/>
      <c r="H18" s="739"/>
      <c r="I18" s="739"/>
      <c r="J18" s="739"/>
      <c r="K18" s="301">
        <v>1709</v>
      </c>
      <c r="L18" s="737"/>
      <c r="M18" s="737"/>
      <c r="N18" s="737"/>
      <c r="O18" s="737"/>
      <c r="P18" s="737"/>
      <c r="Q18" s="529" t="s">
        <v>448</v>
      </c>
    </row>
    <row r="19" spans="3:17" ht="27" customHeight="1">
      <c r="C19" s="741" t="s">
        <v>603</v>
      </c>
      <c r="D19" s="742"/>
      <c r="E19" s="742"/>
      <c r="F19" s="742"/>
      <c r="G19" s="742"/>
      <c r="H19" s="742"/>
      <c r="I19" s="742"/>
      <c r="J19" s="743"/>
      <c r="K19" s="301">
        <v>1379</v>
      </c>
      <c r="L19" s="737"/>
      <c r="M19" s="737"/>
      <c r="N19" s="737"/>
      <c r="O19" s="737"/>
      <c r="P19" s="737"/>
      <c r="Q19" s="529" t="s">
        <v>448</v>
      </c>
    </row>
    <row r="20" spans="3:17" ht="27" customHeight="1">
      <c r="C20" s="530" t="s">
        <v>481</v>
      </c>
      <c r="D20" s="531"/>
      <c r="E20" s="531"/>
      <c r="F20" s="531"/>
      <c r="G20" s="531"/>
      <c r="H20" s="531"/>
      <c r="I20" s="531"/>
      <c r="J20" s="531"/>
      <c r="K20" s="301">
        <v>1710</v>
      </c>
      <c r="L20" s="737">
        <f>+'[14]R17 14 D3'!L40:P40</f>
        <v>0</v>
      </c>
      <c r="M20" s="737"/>
      <c r="N20" s="737"/>
      <c r="O20" s="737"/>
      <c r="P20" s="737"/>
      <c r="Q20" s="528" t="s">
        <v>424</v>
      </c>
    </row>
    <row r="21" spans="3:17" ht="27" customHeight="1">
      <c r="C21" s="741" t="s">
        <v>604</v>
      </c>
      <c r="D21" s="742"/>
      <c r="E21" s="742"/>
      <c r="F21" s="742"/>
      <c r="G21" s="742"/>
      <c r="H21" s="742"/>
      <c r="I21" s="742"/>
      <c r="J21" s="743"/>
      <c r="K21" s="301">
        <v>1711</v>
      </c>
      <c r="L21" s="737">
        <f>+'[14]R17 14 D3'!L41:P41</f>
        <v>0</v>
      </c>
      <c r="M21" s="737"/>
      <c r="N21" s="737"/>
      <c r="O21" s="737"/>
      <c r="P21" s="737"/>
      <c r="Q21" s="528" t="s">
        <v>424</v>
      </c>
    </row>
    <row r="22" spans="3:17" ht="27" customHeight="1">
      <c r="C22" s="532" t="s">
        <v>605</v>
      </c>
      <c r="D22" s="531"/>
      <c r="E22" s="531"/>
      <c r="F22" s="531"/>
      <c r="G22" s="531"/>
      <c r="H22" s="531"/>
      <c r="I22" s="531"/>
      <c r="J22" s="531"/>
      <c r="K22" s="301">
        <v>1380</v>
      </c>
      <c r="L22" s="737"/>
      <c r="M22" s="737"/>
      <c r="N22" s="737"/>
      <c r="O22" s="737"/>
      <c r="P22" s="737"/>
      <c r="Q22" s="528" t="s">
        <v>424</v>
      </c>
    </row>
    <row r="23" spans="3:17" ht="27" customHeight="1" thickBot="1">
      <c r="C23" s="533" t="s">
        <v>606</v>
      </c>
      <c r="D23" s="534"/>
      <c r="E23" s="534"/>
      <c r="F23" s="534"/>
      <c r="G23" s="534"/>
      <c r="H23" s="534"/>
      <c r="I23" s="534"/>
      <c r="J23" s="534"/>
      <c r="K23" s="535">
        <v>1381</v>
      </c>
      <c r="L23" s="732"/>
      <c r="M23" s="732"/>
      <c r="N23" s="732"/>
      <c r="O23" s="732"/>
      <c r="P23" s="732"/>
      <c r="Q23" s="536" t="s">
        <v>448</v>
      </c>
    </row>
    <row r="24" spans="3:17" ht="27" customHeight="1" thickBot="1">
      <c r="C24" s="733" t="s">
        <v>607</v>
      </c>
      <c r="D24" s="734"/>
      <c r="E24" s="734"/>
      <c r="F24" s="734"/>
      <c r="G24" s="734"/>
      <c r="H24" s="734"/>
      <c r="I24" s="734"/>
      <c r="J24" s="735"/>
      <c r="K24" s="351">
        <v>1545</v>
      </c>
      <c r="L24" s="736">
        <f>+L4+L9+L11-L16</f>
        <v>127221508.16806722</v>
      </c>
      <c r="M24" s="736"/>
      <c r="N24" s="736"/>
      <c r="O24" s="736"/>
      <c r="P24" s="736"/>
      <c r="Q24" s="537" t="s">
        <v>422</v>
      </c>
    </row>
    <row r="25" spans="3:17" ht="27" customHeight="1" thickBot="1">
      <c r="C25" s="733" t="s">
        <v>608</v>
      </c>
      <c r="D25" s="734"/>
      <c r="E25" s="734"/>
      <c r="F25" s="734"/>
      <c r="G25" s="734"/>
      <c r="H25" s="734"/>
      <c r="I25" s="734"/>
      <c r="J25" s="735"/>
      <c r="K25" s="351">
        <v>1546</v>
      </c>
      <c r="L25" s="736"/>
      <c r="M25" s="736"/>
      <c r="N25" s="736"/>
      <c r="O25" s="736"/>
      <c r="P25" s="736"/>
      <c r="Q25" s="537" t="s">
        <v>422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13" sqref="L13:P13"/>
    </sheetView>
  </sheetViews>
  <sheetFormatPr baseColWidth="10" defaultColWidth="11.5703125" defaultRowHeight="14.2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3" customWidth="1"/>
    <col min="18" max="18" width="4.85546875" style="513" customWidth="1"/>
    <col min="19" max="19" width="9.140625" style="513" customWidth="1"/>
    <col min="20" max="20" width="7" style="513" customWidth="1"/>
    <col min="21" max="21" width="25.8554687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4.85546875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4.85546875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4.85546875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4.85546875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4.85546875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4.85546875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4.85546875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4.85546875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4.85546875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4.85546875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4.85546875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4.85546875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4.85546875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4.85546875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4.85546875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4.85546875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4.85546875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4.85546875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4.85546875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4.85546875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4.85546875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4.85546875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4.85546875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4.85546875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4.85546875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4.85546875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4.85546875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4.85546875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4.85546875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4.85546875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4.85546875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4.85546875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4.85546875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4.85546875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4.85546875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4.85546875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4.85546875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4.85546875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4.85546875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4.85546875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4.85546875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4.85546875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4.85546875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4.85546875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4.85546875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4.85546875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4.85546875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4.85546875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4.85546875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4.85546875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4.85546875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4.85546875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4.85546875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4.85546875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4.85546875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4.85546875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4.85546875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4.85546875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4.85546875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4.85546875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4.85546875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4.85546875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4.85546875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1" ht="15" thickBot="1"/>
    <row r="2" spans="3:21">
      <c r="C2" s="771" t="s">
        <v>609</v>
      </c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6"/>
    </row>
    <row r="3" spans="3:21" ht="15" thickBot="1">
      <c r="C3" s="747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/>
    </row>
    <row r="4" spans="3:21" ht="27" customHeight="1">
      <c r="C4" s="772" t="s">
        <v>607</v>
      </c>
      <c r="D4" s="773"/>
      <c r="E4" s="773"/>
      <c r="F4" s="773"/>
      <c r="G4" s="773"/>
      <c r="H4" s="773"/>
      <c r="I4" s="773"/>
      <c r="J4" s="774"/>
      <c r="K4" s="296">
        <v>1703</v>
      </c>
      <c r="L4" s="750">
        <f>+'R19 los andes at 2024'!L24:P24</f>
        <v>127221508.16806722</v>
      </c>
      <c r="M4" s="750"/>
      <c r="N4" s="750"/>
      <c r="O4" s="750"/>
      <c r="P4" s="750"/>
      <c r="Q4" s="538" t="s">
        <v>424</v>
      </c>
      <c r="S4" s="515" t="s">
        <v>610</v>
      </c>
      <c r="U4" s="515"/>
    </row>
    <row r="5" spans="3:21" ht="27" customHeight="1">
      <c r="C5" s="775" t="s">
        <v>608</v>
      </c>
      <c r="D5" s="776"/>
      <c r="E5" s="776"/>
      <c r="F5" s="776"/>
      <c r="G5" s="776"/>
      <c r="H5" s="776"/>
      <c r="I5" s="776"/>
      <c r="J5" s="777"/>
      <c r="K5" s="301">
        <v>1719</v>
      </c>
      <c r="L5" s="737">
        <f>+'[14]R19 14 D3'!L25:P25</f>
        <v>0</v>
      </c>
      <c r="M5" s="737"/>
      <c r="N5" s="737"/>
      <c r="O5" s="737"/>
      <c r="P5" s="737"/>
      <c r="Q5" s="539" t="s">
        <v>448</v>
      </c>
      <c r="S5" s="515" t="s">
        <v>611</v>
      </c>
      <c r="U5" s="515"/>
    </row>
    <row r="6" spans="3:21" ht="27" customHeight="1">
      <c r="C6" s="738" t="s">
        <v>612</v>
      </c>
      <c r="D6" s="739"/>
      <c r="E6" s="739"/>
      <c r="F6" s="739"/>
      <c r="G6" s="739"/>
      <c r="H6" s="739"/>
      <c r="I6" s="739"/>
      <c r="J6" s="740"/>
      <c r="K6" s="301">
        <v>1492</v>
      </c>
      <c r="L6" s="737"/>
      <c r="M6" s="737"/>
      <c r="N6" s="737"/>
      <c r="O6" s="737"/>
      <c r="P6" s="737"/>
      <c r="Q6" s="540" t="s">
        <v>424</v>
      </c>
    </row>
    <row r="7" spans="3:21" ht="27" customHeight="1">
      <c r="C7" s="738" t="s">
        <v>613</v>
      </c>
      <c r="D7" s="765"/>
      <c r="E7" s="765"/>
      <c r="F7" s="765"/>
      <c r="G7" s="765"/>
      <c r="H7" s="765"/>
      <c r="I7" s="765"/>
      <c r="J7" s="766"/>
      <c r="K7" s="301">
        <v>1704</v>
      </c>
      <c r="L7" s="737">
        <f>+'R19 los andes at 2024'!L16:P16</f>
        <v>100000000</v>
      </c>
      <c r="M7" s="737"/>
      <c r="N7" s="737"/>
      <c r="O7" s="737"/>
      <c r="P7" s="737"/>
      <c r="Q7" s="540" t="s">
        <v>424</v>
      </c>
    </row>
    <row r="8" spans="3:21" ht="27" customHeight="1">
      <c r="C8" s="767" t="s">
        <v>119</v>
      </c>
      <c r="D8" s="768"/>
      <c r="E8" s="768"/>
      <c r="F8" s="768"/>
      <c r="G8" s="768"/>
      <c r="H8" s="768"/>
      <c r="I8" s="768"/>
      <c r="J8" s="769"/>
      <c r="K8" s="364">
        <v>1720</v>
      </c>
      <c r="L8" s="770">
        <f>+L4-L5+L6+L7</f>
        <v>227221508.16806722</v>
      </c>
      <c r="M8" s="770"/>
      <c r="N8" s="770"/>
      <c r="O8" s="770"/>
      <c r="P8" s="770"/>
      <c r="Q8" s="541" t="s">
        <v>422</v>
      </c>
    </row>
    <row r="9" spans="3:21" ht="27" customHeight="1">
      <c r="C9" s="738" t="s">
        <v>614</v>
      </c>
      <c r="D9" s="739"/>
      <c r="E9" s="739"/>
      <c r="F9" s="739"/>
      <c r="G9" s="739"/>
      <c r="H9" s="739"/>
      <c r="I9" s="739"/>
      <c r="J9" s="740"/>
      <c r="K9" s="301">
        <v>1493</v>
      </c>
      <c r="L9" s="737"/>
      <c r="M9" s="737"/>
      <c r="N9" s="737"/>
      <c r="O9" s="737"/>
      <c r="P9" s="737"/>
      <c r="Q9" s="539" t="s">
        <v>448</v>
      </c>
    </row>
    <row r="10" spans="3:21" ht="27" customHeight="1">
      <c r="C10" s="738" t="s">
        <v>615</v>
      </c>
      <c r="D10" s="739"/>
      <c r="E10" s="739"/>
      <c r="F10" s="739"/>
      <c r="G10" s="739"/>
      <c r="H10" s="739"/>
      <c r="I10" s="739"/>
      <c r="J10" s="740"/>
      <c r="K10" s="301">
        <v>1494</v>
      </c>
      <c r="L10" s="737">
        <f>+'R18 los andes at 2023'!L10:P10</f>
        <v>100000000</v>
      </c>
      <c r="M10" s="737"/>
      <c r="N10" s="737"/>
      <c r="O10" s="737"/>
      <c r="P10" s="737"/>
      <c r="Q10" s="539" t="s">
        <v>448</v>
      </c>
    </row>
    <row r="11" spans="3:21" ht="27" customHeight="1">
      <c r="C11" s="738" t="s">
        <v>616</v>
      </c>
      <c r="D11" s="739"/>
      <c r="E11" s="739"/>
      <c r="F11" s="739"/>
      <c r="G11" s="739"/>
      <c r="H11" s="739"/>
      <c r="I11" s="739"/>
      <c r="J11" s="739"/>
      <c r="K11" s="301">
        <v>1725</v>
      </c>
      <c r="L11" s="737"/>
      <c r="M11" s="737"/>
      <c r="N11" s="737"/>
      <c r="O11" s="737"/>
      <c r="P11" s="737"/>
      <c r="Q11" s="539" t="s">
        <v>448</v>
      </c>
    </row>
    <row r="12" spans="3:21" ht="27" customHeight="1" thickBot="1">
      <c r="C12" s="763" t="s">
        <v>617</v>
      </c>
      <c r="D12" s="764"/>
      <c r="E12" s="764"/>
      <c r="F12" s="764"/>
      <c r="G12" s="764"/>
      <c r="H12" s="764"/>
      <c r="I12" s="764"/>
      <c r="J12" s="764"/>
      <c r="K12" s="542">
        <v>1727</v>
      </c>
      <c r="L12" s="732"/>
      <c r="M12" s="732"/>
      <c r="N12" s="732"/>
      <c r="O12" s="732"/>
      <c r="P12" s="732"/>
      <c r="Q12" s="543" t="s">
        <v>448</v>
      </c>
    </row>
    <row r="13" spans="3:21" ht="27" customHeight="1" thickBot="1">
      <c r="C13" s="760" t="s">
        <v>618</v>
      </c>
      <c r="D13" s="761"/>
      <c r="E13" s="761"/>
      <c r="F13" s="761"/>
      <c r="G13" s="761"/>
      <c r="H13" s="761"/>
      <c r="I13" s="761"/>
      <c r="J13" s="762"/>
      <c r="K13" s="351">
        <v>1500</v>
      </c>
      <c r="L13" s="736">
        <f>+L8-L9-L10-L11-L12</f>
        <v>127221508.16806722</v>
      </c>
      <c r="M13" s="736"/>
      <c r="N13" s="736"/>
      <c r="O13" s="736"/>
      <c r="P13" s="736"/>
      <c r="Q13" s="544" t="s">
        <v>422</v>
      </c>
      <c r="U13" s="545">
        <f>+L13</f>
        <v>127221508.16806722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6:J6"/>
    <mergeCell ref="L6:P6"/>
    <mergeCell ref="C2:Q3"/>
    <mergeCell ref="C4:J4"/>
    <mergeCell ref="L4:P4"/>
    <mergeCell ref="C5:J5"/>
    <mergeCell ref="L5:P5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workbookViewId="0">
      <selection activeCell="C10" sqref="C10:M15"/>
    </sheetView>
  </sheetViews>
  <sheetFormatPr baseColWidth="10" defaultRowHeight="15"/>
  <cols>
    <col min="3" max="3" width="16.140625" customWidth="1"/>
    <col min="4" max="4" width="11.5703125" customWidth="1"/>
    <col min="5" max="5" width="12.28515625" customWidth="1"/>
    <col min="12" max="12" width="13.140625" customWidth="1"/>
    <col min="13" max="13" width="13.42578125" customWidth="1"/>
  </cols>
  <sheetData>
    <row r="2" spans="3:13" ht="15.75" thickBot="1">
      <c r="C2" s="9" t="s">
        <v>156</v>
      </c>
    </row>
    <row r="3" spans="3:13">
      <c r="C3" s="112" t="s">
        <v>157</v>
      </c>
      <c r="D3" s="113" t="s">
        <v>14</v>
      </c>
      <c r="E3" s="113" t="s">
        <v>14</v>
      </c>
      <c r="F3" s="113" t="s">
        <v>158</v>
      </c>
      <c r="G3" s="113" t="s">
        <v>159</v>
      </c>
      <c r="H3" s="113" t="s">
        <v>160</v>
      </c>
      <c r="I3" s="113" t="s">
        <v>161</v>
      </c>
      <c r="J3" s="113" t="s">
        <v>161</v>
      </c>
      <c r="K3" s="113" t="s">
        <v>162</v>
      </c>
      <c r="L3" s="113" t="s">
        <v>162</v>
      </c>
      <c r="M3" s="114" t="s">
        <v>163</v>
      </c>
    </row>
    <row r="4" spans="3:13" ht="15.75" thickBot="1">
      <c r="C4" s="115"/>
      <c r="D4" s="116" t="s">
        <v>164</v>
      </c>
      <c r="E4" s="116" t="s">
        <v>165</v>
      </c>
      <c r="F4" s="116"/>
      <c r="G4" s="116"/>
      <c r="H4" s="116" t="s">
        <v>166</v>
      </c>
      <c r="I4" s="116" t="s">
        <v>166</v>
      </c>
      <c r="J4" s="116" t="s">
        <v>167</v>
      </c>
      <c r="K4" s="116" t="s">
        <v>168</v>
      </c>
      <c r="L4" s="116" t="s">
        <v>169</v>
      </c>
      <c r="M4" s="117" t="s">
        <v>170</v>
      </c>
    </row>
    <row r="5" spans="3:13">
      <c r="C5" s="118" t="s">
        <v>171</v>
      </c>
      <c r="D5" s="119">
        <v>1500000</v>
      </c>
      <c r="E5" s="119">
        <f>+D5/30</f>
        <v>50000</v>
      </c>
      <c r="F5" s="120">
        <v>44562</v>
      </c>
      <c r="G5" s="120">
        <v>44926</v>
      </c>
      <c r="H5" s="118">
        <v>12</v>
      </c>
      <c r="I5" s="118">
        <v>0</v>
      </c>
      <c r="J5" s="118">
        <f>(H5+I5)*1.25</f>
        <v>15</v>
      </c>
      <c r="K5" s="118">
        <v>0</v>
      </c>
      <c r="L5" s="118">
        <f>+J5-K5</f>
        <v>15</v>
      </c>
      <c r="M5" s="119">
        <f>+L5*E5</f>
        <v>750000</v>
      </c>
    </row>
    <row r="6" spans="3:13">
      <c r="C6" s="121" t="s">
        <v>172</v>
      </c>
      <c r="D6" s="122">
        <v>745000</v>
      </c>
      <c r="E6" s="122">
        <f>+D6/30</f>
        <v>24833.333333333332</v>
      </c>
      <c r="F6" s="123">
        <v>44682</v>
      </c>
      <c r="G6" s="123">
        <f>+G5</f>
        <v>44926</v>
      </c>
      <c r="H6" s="121">
        <v>8</v>
      </c>
      <c r="I6" s="121">
        <v>0</v>
      </c>
      <c r="J6" s="121">
        <f t="shared" ref="J6:J7" si="0">(H6+I6)*1.25</f>
        <v>10</v>
      </c>
      <c r="K6" s="121">
        <v>3</v>
      </c>
      <c r="L6" s="121">
        <f t="shared" ref="L6:L7" si="1">+J6-K6</f>
        <v>7</v>
      </c>
      <c r="M6" s="122">
        <f t="shared" ref="M6:M7" si="2">+L6*E6</f>
        <v>173833.33333333331</v>
      </c>
    </row>
    <row r="7" spans="3:13" ht="15.75" thickBot="1">
      <c r="C7" s="121" t="s">
        <v>173</v>
      </c>
      <c r="D7" s="122">
        <v>400000</v>
      </c>
      <c r="E7" s="122">
        <f>+D7/30</f>
        <v>13333.333333333334</v>
      </c>
      <c r="F7" s="123">
        <v>44877</v>
      </c>
      <c r="G7" s="123">
        <f>+G6</f>
        <v>44926</v>
      </c>
      <c r="H7" s="121">
        <v>1</v>
      </c>
      <c r="I7" s="121">
        <f>18/30</f>
        <v>0.6</v>
      </c>
      <c r="J7" s="121">
        <f t="shared" si="0"/>
        <v>2</v>
      </c>
      <c r="K7" s="121">
        <v>0</v>
      </c>
      <c r="L7" s="121">
        <f t="shared" si="1"/>
        <v>2</v>
      </c>
      <c r="M7" s="124">
        <f t="shared" si="2"/>
        <v>26666.666666666668</v>
      </c>
    </row>
    <row r="8" spans="3:13" ht="15.75" thickBot="1">
      <c r="C8" s="68"/>
      <c r="D8" s="125">
        <f>SUM(D5:D7)</f>
        <v>2645000</v>
      </c>
      <c r="E8" s="125">
        <f>SUM(E5:E7)</f>
        <v>88166.666666666657</v>
      </c>
      <c r="F8" s="68"/>
      <c r="G8" s="68"/>
      <c r="H8" s="68"/>
      <c r="I8" s="68"/>
      <c r="J8" s="68"/>
      <c r="K8" s="68"/>
      <c r="L8" s="68"/>
      <c r="M8" s="125">
        <f>SUM(M5:M7)</f>
        <v>950499.99999999988</v>
      </c>
    </row>
    <row r="9" spans="3:13" ht="15.75" thickBot="1">
      <c r="C9" s="68"/>
      <c r="D9" s="126"/>
      <c r="E9" s="126"/>
      <c r="F9" s="68"/>
      <c r="G9" s="68"/>
      <c r="H9" s="68"/>
      <c r="I9" s="68"/>
      <c r="J9" s="68"/>
      <c r="K9" s="68"/>
      <c r="L9" s="68"/>
      <c r="M9" s="126"/>
    </row>
    <row r="10" spans="3:13">
      <c r="C10" s="112" t="s">
        <v>157</v>
      </c>
      <c r="D10" s="113" t="s">
        <v>14</v>
      </c>
      <c r="E10" s="113" t="s">
        <v>14</v>
      </c>
      <c r="F10" s="113" t="s">
        <v>158</v>
      </c>
      <c r="G10" s="113" t="s">
        <v>159</v>
      </c>
      <c r="H10" s="113" t="s">
        <v>160</v>
      </c>
      <c r="I10" s="113" t="s">
        <v>161</v>
      </c>
      <c r="J10" s="113" t="s">
        <v>161</v>
      </c>
      <c r="K10" s="113" t="s">
        <v>162</v>
      </c>
      <c r="L10" s="113" t="s">
        <v>162</v>
      </c>
      <c r="M10" s="114" t="s">
        <v>163</v>
      </c>
    </row>
    <row r="11" spans="3:13" ht="15.75" thickBot="1">
      <c r="C11" s="115"/>
      <c r="D11" s="116" t="s">
        <v>164</v>
      </c>
      <c r="E11" s="116" t="s">
        <v>165</v>
      </c>
      <c r="F11" s="116"/>
      <c r="G11" s="116"/>
      <c r="H11" s="116" t="s">
        <v>166</v>
      </c>
      <c r="I11" s="116" t="s">
        <v>166</v>
      </c>
      <c r="J11" s="116" t="s">
        <v>167</v>
      </c>
      <c r="K11" s="116" t="s">
        <v>168</v>
      </c>
      <c r="L11" s="116" t="s">
        <v>169</v>
      </c>
      <c r="M11" s="117" t="s">
        <v>170</v>
      </c>
    </row>
    <row r="12" spans="3:13">
      <c r="C12" s="118" t="s">
        <v>171</v>
      </c>
      <c r="D12" s="119">
        <v>1600000</v>
      </c>
      <c r="E12" s="119">
        <f>+D12/30</f>
        <v>53333.333333333336</v>
      </c>
      <c r="F12" s="120">
        <v>44927</v>
      </c>
      <c r="G12" s="120">
        <v>45291</v>
      </c>
      <c r="H12" s="118">
        <v>12</v>
      </c>
      <c r="I12" s="118">
        <v>0</v>
      </c>
      <c r="J12" s="118">
        <f>(H12+I12)*1.25+L5</f>
        <v>30</v>
      </c>
      <c r="K12" s="118">
        <v>15</v>
      </c>
      <c r="L12" s="118">
        <f>+J12-K12</f>
        <v>15</v>
      </c>
      <c r="M12" s="119">
        <f>+L12*E12</f>
        <v>800000</v>
      </c>
    </row>
    <row r="13" spans="3:13" ht="15.75" thickBot="1">
      <c r="C13" s="121" t="s">
        <v>172</v>
      </c>
      <c r="D13" s="122">
        <v>830000</v>
      </c>
      <c r="E13" s="122">
        <f>+D13/30</f>
        <v>27666.666666666668</v>
      </c>
      <c r="F13" s="123">
        <f>+F12</f>
        <v>44927</v>
      </c>
      <c r="G13" s="123">
        <f>+G12</f>
        <v>45291</v>
      </c>
      <c r="H13" s="121">
        <v>12</v>
      </c>
      <c r="I13" s="121">
        <v>0</v>
      </c>
      <c r="J13" s="118">
        <f>(H13+I13)*1.25+L6</f>
        <v>22</v>
      </c>
      <c r="K13" s="121">
        <v>7</v>
      </c>
      <c r="L13" s="121">
        <f t="shared" ref="L13:L14" si="3">+J13-K13</f>
        <v>15</v>
      </c>
      <c r="M13" s="122">
        <f t="shared" ref="M13:M14" si="4">+L13*E13</f>
        <v>415000</v>
      </c>
    </row>
    <row r="14" spans="3:13" ht="15.75" thickBot="1">
      <c r="C14" s="121" t="s">
        <v>173</v>
      </c>
      <c r="D14" s="125">
        <v>460000</v>
      </c>
      <c r="E14" s="122">
        <f>+D14/30</f>
        <v>15333.333333333334</v>
      </c>
      <c r="F14" s="123">
        <f>+F13</f>
        <v>44927</v>
      </c>
      <c r="G14" s="123">
        <f>+G13</f>
        <v>45291</v>
      </c>
      <c r="H14" s="121">
        <f>+H13</f>
        <v>12</v>
      </c>
      <c r="I14" s="121">
        <v>0</v>
      </c>
      <c r="J14" s="118">
        <f>(H14+I14)*1.25+L7</f>
        <v>17</v>
      </c>
      <c r="K14" s="121">
        <v>17</v>
      </c>
      <c r="L14" s="121">
        <f t="shared" si="3"/>
        <v>0</v>
      </c>
      <c r="M14" s="124">
        <f t="shared" si="4"/>
        <v>0</v>
      </c>
    </row>
    <row r="15" spans="3:13" ht="15.75" thickBot="1">
      <c r="D15" s="125">
        <f>SUM(D12:D14)</f>
        <v>2890000</v>
      </c>
      <c r="E15" s="125">
        <f>SUM(E12:E14)</f>
        <v>96333.333333333328</v>
      </c>
      <c r="M15" s="125">
        <f>SUM(M12:M14)</f>
        <v>1215000</v>
      </c>
    </row>
    <row r="17" spans="3:10">
      <c r="C17" s="127" t="s">
        <v>174</v>
      </c>
    </row>
    <row r="18" spans="3:10">
      <c r="C18" t="s">
        <v>175</v>
      </c>
      <c r="G18" s="128">
        <f>+D5*12+D6*8+D7*1+E7*18</f>
        <v>24600000</v>
      </c>
    </row>
    <row r="19" spans="3:10">
      <c r="C19" t="s">
        <v>176</v>
      </c>
      <c r="G19" s="128">
        <f>+G18*5%</f>
        <v>1230000</v>
      </c>
      <c r="H19" s="128"/>
    </row>
    <row r="20" spans="3:10">
      <c r="E20" t="s">
        <v>177</v>
      </c>
      <c r="G20" s="128"/>
      <c r="H20" s="128">
        <f>+G18*19%+G19</f>
        <v>5904000</v>
      </c>
      <c r="J20">
        <f>+D8*24%</f>
        <v>634800</v>
      </c>
    </row>
    <row r="21" spans="3:10">
      <c r="E21" t="s">
        <v>178</v>
      </c>
      <c r="G21" s="128"/>
      <c r="H21" s="128">
        <f>+G18+G19-H20</f>
        <v>19926000</v>
      </c>
    </row>
    <row r="22" spans="3:10">
      <c r="C22" s="129"/>
      <c r="G22" s="128"/>
      <c r="H22" s="128"/>
    </row>
    <row r="23" spans="3:10">
      <c r="C23" s="130" t="s">
        <v>179</v>
      </c>
      <c r="G23" s="128">
        <f>+M8</f>
        <v>950499.99999999988</v>
      </c>
    </row>
    <row r="24" spans="3:10">
      <c r="D24" t="s">
        <v>180</v>
      </c>
      <c r="G24" s="128"/>
      <c r="H24" s="128">
        <f>+G23</f>
        <v>950499.99999999988</v>
      </c>
    </row>
    <row r="25" spans="3:10">
      <c r="G25" s="128"/>
      <c r="H25" s="128"/>
    </row>
    <row r="26" spans="3:10">
      <c r="G26" s="128"/>
      <c r="H26" s="128"/>
    </row>
    <row r="27" spans="3:10">
      <c r="C27" s="54" t="s">
        <v>181</v>
      </c>
      <c r="G27" s="128"/>
    </row>
    <row r="28" spans="3:10">
      <c r="C28" t="s">
        <v>175</v>
      </c>
      <c r="G28" s="128">
        <f>+D15*12</f>
        <v>34680000</v>
      </c>
      <c r="H28" s="128"/>
    </row>
    <row r="29" spans="3:10">
      <c r="C29" t="s">
        <v>176</v>
      </c>
      <c r="G29" s="128">
        <f>+G28*5%</f>
        <v>1734000</v>
      </c>
      <c r="H29" s="128"/>
    </row>
    <row r="30" spans="3:10">
      <c r="E30" t="s">
        <v>177</v>
      </c>
      <c r="G30" s="128"/>
      <c r="H30" s="128">
        <f>+G28*19%+G29</f>
        <v>8323200</v>
      </c>
    </row>
    <row r="31" spans="3:10">
      <c r="E31" t="s">
        <v>178</v>
      </c>
      <c r="G31" s="128"/>
      <c r="H31">
        <f>+G28+G29-H30</f>
        <v>28090800</v>
      </c>
    </row>
    <row r="32" spans="3:10">
      <c r="G32" s="128"/>
      <c r="H32" s="128"/>
    </row>
    <row r="33" spans="3:8">
      <c r="C33" t="str">
        <f>+D24</f>
        <v xml:space="preserve">Provisión Vacaciones del  Personal </v>
      </c>
      <c r="G33" s="128">
        <f>+M8</f>
        <v>950499.99999999988</v>
      </c>
    </row>
    <row r="34" spans="3:8">
      <c r="D34" t="str">
        <f>+C28</f>
        <v>Remuneraciones del Personal</v>
      </c>
      <c r="H34" s="128">
        <f>+G33</f>
        <v>950499.99999999988</v>
      </c>
    </row>
    <row r="36" spans="3:8">
      <c r="C36" s="130" t="s">
        <v>179</v>
      </c>
      <c r="G36" s="128">
        <f>+M15</f>
        <v>1215000</v>
      </c>
    </row>
    <row r="37" spans="3:8">
      <c r="D37" t="s">
        <v>180</v>
      </c>
      <c r="G37" s="128"/>
      <c r="H37" s="128">
        <f>+G36</f>
        <v>1215000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48"/>
  <sheetViews>
    <sheetView topLeftCell="A7" zoomScale="91" zoomScaleNormal="91" workbookViewId="0">
      <pane ySplit="7" topLeftCell="A27" activePane="bottomLeft" state="frozen"/>
      <selection activeCell="A7" sqref="A7"/>
      <selection pane="bottomLeft" activeCell="I46" sqref="I46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0" hidden="1" customWidth="1"/>
    <col min="18" max="18" width="12.5703125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9" max="29" width="12" bestFit="1" customWidth="1"/>
    <col min="30" max="31" width="0" hidden="1" customWidth="1"/>
    <col min="32" max="32" width="15.42578125" hidden="1" customWidth="1"/>
    <col min="33" max="33" width="12.7109375" bestFit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92" t="s">
        <v>502</v>
      </c>
      <c r="T8" s="792"/>
      <c r="U8" s="792"/>
      <c r="V8" s="792"/>
      <c r="W8" s="792"/>
      <c r="X8" s="792"/>
      <c r="Y8" s="792"/>
      <c r="Z8" s="792"/>
      <c r="AA8" s="792"/>
      <c r="AB8" s="792"/>
      <c r="AC8" s="792"/>
      <c r="AD8" s="792"/>
      <c r="AE8" s="792"/>
      <c r="AF8" s="792"/>
    </row>
    <row r="9" spans="2:37" ht="15.75" thickBot="1">
      <c r="I9" s="5"/>
      <c r="J9" s="5"/>
      <c r="K9" s="5"/>
      <c r="L9" s="5"/>
      <c r="M9" s="5"/>
      <c r="N9" s="5"/>
      <c r="O9" s="5"/>
      <c r="S9" s="790" t="s">
        <v>503</v>
      </c>
      <c r="T9" s="793"/>
      <c r="U9" s="793"/>
      <c r="V9" s="793"/>
      <c r="W9" s="793"/>
      <c r="X9" s="793"/>
      <c r="Y9" s="793"/>
      <c r="Z9" s="793"/>
      <c r="AA9" s="793"/>
      <c r="AB9" s="794" t="s">
        <v>504</v>
      </c>
      <c r="AC9" s="795"/>
      <c r="AD9" s="795"/>
      <c r="AE9" s="795"/>
      <c r="AF9" s="796"/>
      <c r="AG9" s="797" t="s">
        <v>505</v>
      </c>
    </row>
    <row r="10" spans="2:37" ht="26.25" customHeight="1" thickBot="1">
      <c r="B10" s="800" t="s">
        <v>506</v>
      </c>
      <c r="C10" s="417"/>
      <c r="D10" s="418"/>
      <c r="E10" s="803" t="s">
        <v>507</v>
      </c>
      <c r="F10" s="803"/>
      <c r="G10" s="804"/>
      <c r="H10" s="809" t="s">
        <v>508</v>
      </c>
      <c r="I10" s="812" t="s">
        <v>509</v>
      </c>
      <c r="J10" s="812" t="s">
        <v>510</v>
      </c>
      <c r="K10" s="815" t="s">
        <v>511</v>
      </c>
      <c r="L10" s="816"/>
      <c r="M10" s="816"/>
      <c r="N10" s="816"/>
      <c r="O10" s="816"/>
      <c r="P10" s="816"/>
      <c r="Q10" s="816"/>
      <c r="R10" s="816"/>
      <c r="S10" s="787" t="s">
        <v>512</v>
      </c>
      <c r="T10" s="788"/>
      <c r="U10" s="788"/>
      <c r="V10" s="789"/>
      <c r="W10" s="790" t="s">
        <v>513</v>
      </c>
      <c r="X10" s="791"/>
      <c r="Y10" s="790" t="s">
        <v>513</v>
      </c>
      <c r="Z10" s="791"/>
      <c r="AA10" s="420" t="s">
        <v>514</v>
      </c>
      <c r="AB10" s="817" t="s">
        <v>515</v>
      </c>
      <c r="AC10" s="818"/>
      <c r="AD10" s="818"/>
      <c r="AE10" s="819"/>
      <c r="AF10" s="422" t="s">
        <v>514</v>
      </c>
      <c r="AG10" s="798"/>
    </row>
    <row r="11" spans="2:37" ht="26.25" customHeight="1" thickBot="1">
      <c r="B11" s="801"/>
      <c r="C11" s="423"/>
      <c r="D11" s="424"/>
      <c r="E11" s="805"/>
      <c r="F11" s="805"/>
      <c r="G11" s="806"/>
      <c r="H11" s="810"/>
      <c r="I11" s="813"/>
      <c r="J11" s="813"/>
      <c r="K11" s="425"/>
      <c r="L11" s="426"/>
      <c r="M11" s="426"/>
      <c r="N11" s="426"/>
      <c r="O11" s="426"/>
      <c r="P11" s="426"/>
      <c r="Q11" s="426"/>
      <c r="R11" s="427"/>
      <c r="S11" s="820" t="s">
        <v>516</v>
      </c>
      <c r="T11" s="821"/>
      <c r="U11" s="820" t="s">
        <v>517</v>
      </c>
      <c r="V11" s="821"/>
      <c r="W11" s="820" t="s">
        <v>518</v>
      </c>
      <c r="X11" s="821"/>
      <c r="Y11" s="822" t="s">
        <v>519</v>
      </c>
      <c r="Z11" s="823"/>
      <c r="AA11" s="428" t="s">
        <v>520</v>
      </c>
      <c r="AB11" s="429"/>
      <c r="AC11" s="430"/>
      <c r="AD11" s="778" t="s">
        <v>519</v>
      </c>
      <c r="AE11" s="779"/>
      <c r="AF11" s="422" t="s">
        <v>520</v>
      </c>
      <c r="AG11" s="798"/>
    </row>
    <row r="12" spans="2:37" ht="15" customHeight="1" thickBot="1">
      <c r="B12" s="801"/>
      <c r="C12" s="423"/>
      <c r="D12" s="424"/>
      <c r="E12" s="805"/>
      <c r="F12" s="805"/>
      <c r="G12" s="806"/>
      <c r="H12" s="810"/>
      <c r="I12" s="813"/>
      <c r="J12" s="813"/>
      <c r="K12" s="780" t="s">
        <v>521</v>
      </c>
      <c r="L12" s="781"/>
      <c r="M12" s="781"/>
      <c r="N12" s="781"/>
      <c r="O12" s="782"/>
      <c r="P12" s="783" t="s">
        <v>522</v>
      </c>
      <c r="Q12" s="784"/>
      <c r="R12" s="785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98"/>
    </row>
    <row r="13" spans="2:37" s="9" customFormat="1" ht="180.75" thickBot="1">
      <c r="B13" s="802"/>
      <c r="C13" s="439"/>
      <c r="D13" s="440"/>
      <c r="E13" s="807"/>
      <c r="F13" s="807"/>
      <c r="G13" s="808"/>
      <c r="H13" s="811"/>
      <c r="I13" s="814"/>
      <c r="J13" s="814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786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9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99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0</v>
      </c>
      <c r="I14" s="303"/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>
        <f>+'rtre los andes at 2023'!V113</f>
        <v>-664443.78</v>
      </c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0</v>
      </c>
      <c r="I16" s="462">
        <f t="shared" ref="I16:AG16" si="0">+I14</f>
        <v>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-664443.78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0</v>
      </c>
      <c r="I17" s="467">
        <f>+I16</f>
        <v>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>
        <f>+'R18 los andes at 2024'!U13</f>
        <v>127221508.16806722</v>
      </c>
      <c r="F20" s="473"/>
      <c r="G20" s="469"/>
      <c r="H20" s="466">
        <f>SUM(I20:R20)</f>
        <v>127221508.16806722</v>
      </c>
      <c r="I20" s="303">
        <f>+E20</f>
        <v>127221508.16806722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+'[14]BASE IMPONIBLE'!F18+'[14]BASE IMPONIBLE'!F24+'[14]BASE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>
        <f>+'base imponible  at 2024'!G73</f>
        <v>158201508.16806722</v>
      </c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>
        <f>+E23*F23</f>
        <v>15820150.816806722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9.5" thickBot="1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9.5" hidden="1" thickBot="1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hidden="1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SUM(I27:R28)</f>
        <v>127221508.16806722</v>
      </c>
      <c r="I27" s="462">
        <f>+I16-I17+I20</f>
        <v>127221508.16806722</v>
      </c>
      <c r="J27" s="462">
        <f>+J16-J18</f>
        <v>0</v>
      </c>
      <c r="K27" s="462">
        <f>+K16-K19+K21</f>
        <v>0</v>
      </c>
      <c r="L27" s="462">
        <f t="shared" ref="L27:AG27" si="2">SUM(L16:L26)</f>
        <v>0</v>
      </c>
      <c r="M27" s="462">
        <f t="shared" si="2"/>
        <v>0</v>
      </c>
      <c r="N27" s="462">
        <f t="shared" si="2"/>
        <v>0</v>
      </c>
      <c r="O27" s="462">
        <f t="shared" si="2"/>
        <v>0</v>
      </c>
      <c r="P27" s="462">
        <f t="shared" si="2"/>
        <v>0</v>
      </c>
      <c r="Q27" s="462">
        <f t="shared" si="2"/>
        <v>0</v>
      </c>
      <c r="R27" s="462">
        <f t="shared" si="2"/>
        <v>0</v>
      </c>
      <c r="S27" s="462">
        <f t="shared" si="2"/>
        <v>0</v>
      </c>
      <c r="T27" s="462">
        <f t="shared" si="2"/>
        <v>0</v>
      </c>
      <c r="U27" s="462">
        <f t="shared" si="2"/>
        <v>0</v>
      </c>
      <c r="V27" s="462">
        <f t="shared" si="2"/>
        <v>15155707.036806723</v>
      </c>
      <c r="W27" s="462">
        <f t="shared" si="2"/>
        <v>0</v>
      </c>
      <c r="X27" s="462">
        <f t="shared" si="2"/>
        <v>0</v>
      </c>
      <c r="Y27" s="462">
        <f t="shared" ref="Y27:Z27" si="3">SUM(Y16:Y26)</f>
        <v>0</v>
      </c>
      <c r="Z27" s="462">
        <f t="shared" si="3"/>
        <v>0</v>
      </c>
      <c r="AA27" s="462">
        <f t="shared" si="2"/>
        <v>0</v>
      </c>
      <c r="AB27" s="462">
        <f t="shared" si="2"/>
        <v>0</v>
      </c>
      <c r="AC27" s="462">
        <f t="shared" si="2"/>
        <v>0</v>
      </c>
      <c r="AD27" s="462">
        <f t="shared" ref="AD27:AE27" si="4">SUM(AD16:AD26)</f>
        <v>0</v>
      </c>
      <c r="AE27" s="462">
        <f t="shared" si="4"/>
        <v>0</v>
      </c>
      <c r="AF27" s="462">
        <f t="shared" si="2"/>
        <v>0</v>
      </c>
      <c r="AG27" s="462">
        <f t="shared" si="2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ht="19.5" thickBot="1">
      <c r="B29" s="468" t="s">
        <v>569</v>
      </c>
      <c r="C29" s="475">
        <v>100000000</v>
      </c>
      <c r="D29" s="468"/>
      <c r="E29" s="487"/>
      <c r="F29" s="493"/>
      <c r="G29" s="493"/>
      <c r="H29" s="466">
        <f>+I29</f>
        <v>-100000000</v>
      </c>
      <c r="I29" s="487">
        <f>-C29</f>
        <v>-100000000</v>
      </c>
      <c r="J29" s="487"/>
      <c r="K29" s="487"/>
      <c r="L29" s="487"/>
      <c r="M29" s="487"/>
      <c r="N29" s="487"/>
      <c r="O29" s="487"/>
      <c r="P29" s="487"/>
      <c r="Q29" s="487"/>
      <c r="R29" s="487"/>
      <c r="S29" s="488"/>
      <c r="T29" s="488"/>
      <c r="U29" s="488"/>
      <c r="V29" s="477">
        <f>+I29*X12</f>
        <v>-11111100</v>
      </c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I29" s="5"/>
      <c r="AJ29" s="5"/>
    </row>
    <row r="30" spans="2:36" ht="19.5" hidden="1" thickBot="1">
      <c r="B30" s="468" t="s">
        <v>569</v>
      </c>
      <c r="C30" s="490">
        <v>44560</v>
      </c>
      <c r="D30" s="468" t="s">
        <v>554</v>
      </c>
      <c r="E30" s="487">
        <f>+'[14]retiros o dividendos ejercicio'!D16</f>
        <v>0</v>
      </c>
      <c r="F30" s="493"/>
      <c r="G30" s="493"/>
      <c r="H30" s="466">
        <f t="shared" ref="H30:H33" si="5">SUM(I30:R30)</f>
        <v>0</v>
      </c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8"/>
      <c r="T30" s="488"/>
      <c r="U30" s="488"/>
      <c r="V30" s="488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I30" s="5"/>
      <c r="AJ30" s="5"/>
    </row>
    <row r="31" spans="2:36" ht="19.5" hidden="1" thickBot="1">
      <c r="B31" s="468" t="s">
        <v>569</v>
      </c>
      <c r="C31" s="490">
        <v>44560</v>
      </c>
      <c r="D31" s="468" t="s">
        <v>556</v>
      </c>
      <c r="E31" s="487">
        <f>+'[14]retiros o dividendos ejercicio'!E16</f>
        <v>0</v>
      </c>
      <c r="F31" s="493"/>
      <c r="G31" s="493"/>
      <c r="H31" s="466">
        <f t="shared" si="5"/>
        <v>0</v>
      </c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8"/>
      <c r="T31" s="488"/>
      <c r="U31" s="488"/>
      <c r="V31" s="488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I31" s="5"/>
      <c r="AJ31" s="5"/>
    </row>
    <row r="32" spans="2:36" ht="19.5" hidden="1" thickBot="1">
      <c r="B32" s="468" t="s">
        <v>569</v>
      </c>
      <c r="C32" s="490">
        <v>44560</v>
      </c>
      <c r="D32" s="468" t="s">
        <v>557</v>
      </c>
      <c r="E32" s="487">
        <f>+'[14]retiros o dividendos ejercicio'!F16</f>
        <v>0</v>
      </c>
      <c r="F32" s="493"/>
      <c r="G32" s="493"/>
      <c r="H32" s="466">
        <f t="shared" si="5"/>
        <v>0</v>
      </c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88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ht="19.5" hidden="1" thickBot="1">
      <c r="B33" s="468" t="s">
        <v>569</v>
      </c>
      <c r="C33" s="490">
        <v>44560</v>
      </c>
      <c r="D33" s="468" t="s">
        <v>558</v>
      </c>
      <c r="E33" s="496">
        <f>+'[14]retiros o dividendos ejercicio'!G16</f>
        <v>0</v>
      </c>
      <c r="F33" s="497"/>
      <c r="G33" s="497"/>
      <c r="H33" s="466">
        <f t="shared" si="5"/>
        <v>0</v>
      </c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82"/>
      <c r="T33" s="482"/>
      <c r="U33" s="482"/>
      <c r="V33" s="482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I33" s="5"/>
      <c r="AJ33" s="5"/>
    </row>
    <row r="34" spans="2:36" ht="19.5" thickBot="1">
      <c r="B34" s="498" t="s">
        <v>570</v>
      </c>
      <c r="C34" s="499"/>
      <c r="D34" s="499"/>
      <c r="E34" s="462">
        <f t="shared" ref="E34:AG34" si="6">SUM(E29:E33)</f>
        <v>0</v>
      </c>
      <c r="F34" s="462">
        <f t="shared" si="6"/>
        <v>0</v>
      </c>
      <c r="G34" s="462">
        <f t="shared" si="6"/>
        <v>0</v>
      </c>
      <c r="H34" s="462">
        <f t="shared" si="6"/>
        <v>-100000000</v>
      </c>
      <c r="I34" s="462">
        <f t="shared" si="6"/>
        <v>-100000000</v>
      </c>
      <c r="J34" s="462">
        <f t="shared" si="6"/>
        <v>0</v>
      </c>
      <c r="K34" s="462">
        <f t="shared" si="6"/>
        <v>0</v>
      </c>
      <c r="L34" s="462">
        <f t="shared" si="6"/>
        <v>0</v>
      </c>
      <c r="M34" s="462">
        <f t="shared" si="6"/>
        <v>0</v>
      </c>
      <c r="N34" s="462">
        <f t="shared" si="6"/>
        <v>0</v>
      </c>
      <c r="O34" s="462">
        <f t="shared" si="6"/>
        <v>0</v>
      </c>
      <c r="P34" s="462">
        <f t="shared" si="6"/>
        <v>0</v>
      </c>
      <c r="Q34" s="462">
        <f t="shared" si="6"/>
        <v>0</v>
      </c>
      <c r="R34" s="462">
        <f t="shared" si="6"/>
        <v>0</v>
      </c>
      <c r="S34" s="462">
        <f t="shared" si="6"/>
        <v>0</v>
      </c>
      <c r="T34" s="462">
        <f t="shared" si="6"/>
        <v>0</v>
      </c>
      <c r="U34" s="462">
        <f t="shared" si="6"/>
        <v>0</v>
      </c>
      <c r="V34" s="462">
        <f t="shared" si="6"/>
        <v>-11111100</v>
      </c>
      <c r="W34" s="462">
        <f t="shared" si="6"/>
        <v>0</v>
      </c>
      <c r="X34" s="462">
        <f t="shared" si="6"/>
        <v>0</v>
      </c>
      <c r="Y34" s="462">
        <f t="shared" si="6"/>
        <v>0</v>
      </c>
      <c r="Z34" s="462">
        <f t="shared" si="6"/>
        <v>0</v>
      </c>
      <c r="AA34" s="462">
        <f t="shared" si="6"/>
        <v>0</v>
      </c>
      <c r="AB34" s="462">
        <f t="shared" si="6"/>
        <v>0</v>
      </c>
      <c r="AC34" s="462">
        <f t="shared" si="6"/>
        <v>0</v>
      </c>
      <c r="AD34" s="462">
        <f t="shared" si="6"/>
        <v>0</v>
      </c>
      <c r="AE34" s="462">
        <f t="shared" si="6"/>
        <v>0</v>
      </c>
      <c r="AF34" s="462">
        <f t="shared" si="6"/>
        <v>0</v>
      </c>
      <c r="AG34" s="500">
        <f t="shared" si="6"/>
        <v>0</v>
      </c>
      <c r="AI34" s="5"/>
      <c r="AJ34" s="5"/>
    </row>
    <row r="35" spans="2:36" ht="19.5" thickBot="1">
      <c r="B35" s="501" t="s">
        <v>571</v>
      </c>
      <c r="C35" s="501"/>
      <c r="D35" s="501"/>
      <c r="E35" s="25"/>
      <c r="F35" s="487"/>
      <c r="G35" s="493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88"/>
      <c r="U35" s="488"/>
      <c r="V35" s="488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I35" s="5"/>
      <c r="AJ35" s="5"/>
    </row>
    <row r="36" spans="2:36" s="9" customFormat="1" ht="19.5" hidden="1" thickBot="1">
      <c r="B36" s="502" t="s">
        <v>572</v>
      </c>
      <c r="C36" s="502"/>
      <c r="D36" s="502"/>
      <c r="E36" s="493"/>
      <c r="F36" s="487"/>
      <c r="G36" s="474"/>
      <c r="H36" s="487"/>
      <c r="I36" s="487"/>
      <c r="J36" s="493"/>
      <c r="K36" s="493"/>
      <c r="L36" s="493"/>
      <c r="M36" s="493"/>
      <c r="N36" s="493"/>
      <c r="O36" s="493"/>
      <c r="P36" s="493"/>
      <c r="Q36" s="493"/>
      <c r="R36" s="493"/>
      <c r="S36" s="494"/>
      <c r="T36" s="494"/>
      <c r="U36" s="494"/>
      <c r="V36" s="494"/>
      <c r="W36" s="493"/>
      <c r="X36" s="493"/>
      <c r="Y36" s="493"/>
      <c r="Z36" s="493"/>
      <c r="AA36" s="492"/>
      <c r="AB36" s="493"/>
      <c r="AC36" s="493"/>
      <c r="AD36" s="493"/>
      <c r="AE36" s="493"/>
      <c r="AF36" s="493"/>
      <c r="AG36" s="493"/>
      <c r="AH36" s="415"/>
      <c r="AI36" s="503"/>
      <c r="AJ36" s="464"/>
    </row>
    <row r="37" spans="2:36" s="9" customFormat="1" ht="19.5" hidden="1" thickBot="1">
      <c r="B37" s="502" t="s">
        <v>573</v>
      </c>
      <c r="C37" s="502"/>
      <c r="D37" s="502"/>
      <c r="E37" s="493"/>
      <c r="F37" s="487"/>
      <c r="G37" s="474"/>
      <c r="H37" s="487"/>
      <c r="I37" s="487"/>
      <c r="J37" s="493"/>
      <c r="K37" s="493"/>
      <c r="L37" s="493"/>
      <c r="M37" s="493"/>
      <c r="N37" s="493"/>
      <c r="O37" s="493"/>
      <c r="P37" s="493"/>
      <c r="Q37" s="493"/>
      <c r="R37" s="493"/>
      <c r="S37" s="494"/>
      <c r="T37" s="494"/>
      <c r="U37" s="494"/>
      <c r="V37" s="494"/>
      <c r="W37" s="493"/>
      <c r="X37" s="493"/>
      <c r="Y37" s="493"/>
      <c r="Z37" s="493"/>
      <c r="AA37" s="492"/>
      <c r="AB37" s="493"/>
      <c r="AC37" s="493"/>
      <c r="AD37" s="493"/>
      <c r="AE37" s="493"/>
      <c r="AF37" s="493"/>
      <c r="AG37" s="493"/>
      <c r="AH37" s="415"/>
      <c r="AI37" s="503"/>
      <c r="AJ37" s="464"/>
    </row>
    <row r="38" spans="2:36" s="9" customFormat="1" ht="19.5" hidden="1" thickBot="1">
      <c r="B38" s="502" t="s">
        <v>574</v>
      </c>
      <c r="C38" s="502"/>
      <c r="D38" s="502"/>
      <c r="E38" s="493"/>
      <c r="F38" s="487"/>
      <c r="G38" s="474"/>
      <c r="H38" s="487"/>
      <c r="I38" s="487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494"/>
      <c r="U38" s="494"/>
      <c r="V38" s="494"/>
      <c r="W38" s="493"/>
      <c r="X38" s="493"/>
      <c r="Y38" s="493"/>
      <c r="Z38" s="493"/>
      <c r="AA38" s="492"/>
      <c r="AB38" s="493"/>
      <c r="AC38" s="493"/>
      <c r="AD38" s="493"/>
      <c r="AE38" s="493"/>
      <c r="AF38" s="493"/>
      <c r="AG38" s="493"/>
      <c r="AH38" s="415"/>
      <c r="AI38" s="503"/>
      <c r="AJ38" s="464"/>
    </row>
    <row r="39" spans="2:36" s="9" customFormat="1" ht="19.5" hidden="1" thickBot="1">
      <c r="B39" s="502" t="s">
        <v>575</v>
      </c>
      <c r="C39" s="502"/>
      <c r="D39" s="502"/>
      <c r="E39" s="493"/>
      <c r="F39" s="487"/>
      <c r="G39" s="474"/>
      <c r="H39" s="487"/>
      <c r="I39" s="487"/>
      <c r="J39" s="493"/>
      <c r="K39" s="493"/>
      <c r="L39" s="493"/>
      <c r="M39" s="493"/>
      <c r="N39" s="493"/>
      <c r="O39" s="493"/>
      <c r="P39" s="493"/>
      <c r="Q39" s="493"/>
      <c r="R39" s="493"/>
      <c r="S39" s="494"/>
      <c r="T39" s="494"/>
      <c r="U39" s="494"/>
      <c r="V39" s="494"/>
      <c r="W39" s="493"/>
      <c r="X39" s="493"/>
      <c r="Y39" s="493"/>
      <c r="Z39" s="493"/>
      <c r="AA39" s="492"/>
      <c r="AB39" s="493"/>
      <c r="AC39" s="493"/>
      <c r="AD39" s="493"/>
      <c r="AE39" s="493"/>
      <c r="AF39" s="493"/>
      <c r="AG39" s="493"/>
      <c r="AH39" s="415"/>
      <c r="AI39" s="503"/>
      <c r="AJ39" s="464"/>
    </row>
    <row r="40" spans="2:36" s="9" customFormat="1" ht="19.5" hidden="1" thickBot="1">
      <c r="B40" s="502" t="s">
        <v>576</v>
      </c>
      <c r="C40" s="502"/>
      <c r="D40" s="502"/>
      <c r="E40" s="493"/>
      <c r="F40" s="487"/>
      <c r="G40" s="474"/>
      <c r="H40" s="487"/>
      <c r="I40" s="487"/>
      <c r="J40" s="493"/>
      <c r="K40" s="493"/>
      <c r="L40" s="493"/>
      <c r="M40" s="493"/>
      <c r="N40" s="493"/>
      <c r="O40" s="493"/>
      <c r="P40" s="493"/>
      <c r="Q40" s="493"/>
      <c r="R40" s="493"/>
      <c r="S40" s="494"/>
      <c r="T40" s="494"/>
      <c r="U40" s="494"/>
      <c r="V40" s="494"/>
      <c r="W40" s="493"/>
      <c r="X40" s="493"/>
      <c r="Y40" s="493"/>
      <c r="Z40" s="493"/>
      <c r="AA40" s="492"/>
      <c r="AB40" s="493"/>
      <c r="AC40" s="493"/>
      <c r="AD40" s="493"/>
      <c r="AE40" s="493"/>
      <c r="AF40" s="493"/>
      <c r="AG40" s="493"/>
      <c r="AH40" s="415"/>
      <c r="AI40" s="503"/>
      <c r="AJ40" s="464"/>
    </row>
    <row r="41" spans="2:36" s="9" customFormat="1" ht="19.5" hidden="1" thickBot="1">
      <c r="B41" s="504" t="s">
        <v>577</v>
      </c>
      <c r="C41" s="504"/>
      <c r="D41" s="504"/>
      <c r="E41" s="497"/>
      <c r="F41" s="487"/>
      <c r="G41" s="474"/>
      <c r="H41" s="487"/>
      <c r="I41" s="487"/>
      <c r="J41" s="493"/>
      <c r="K41" s="493"/>
      <c r="L41" s="493"/>
      <c r="M41" s="493"/>
      <c r="N41" s="493"/>
      <c r="O41" s="493"/>
      <c r="P41" s="493"/>
      <c r="Q41" s="493"/>
      <c r="R41" s="493"/>
      <c r="S41" s="494"/>
      <c r="T41" s="494"/>
      <c r="U41" s="494"/>
      <c r="V41" s="494"/>
      <c r="W41" s="493"/>
      <c r="X41" s="493"/>
      <c r="Y41" s="493"/>
      <c r="Z41" s="493"/>
      <c r="AA41" s="492"/>
      <c r="AB41" s="493"/>
      <c r="AC41" s="493"/>
      <c r="AD41" s="493"/>
      <c r="AE41" s="493"/>
      <c r="AF41" s="493"/>
      <c r="AG41" s="493"/>
      <c r="AH41" s="415"/>
      <c r="AI41" s="503"/>
      <c r="AJ41" s="464"/>
    </row>
    <row r="42" spans="2:36" s="9" customFormat="1" ht="19.5" thickBot="1">
      <c r="B42" s="498" t="s">
        <v>578</v>
      </c>
      <c r="C42" s="505"/>
      <c r="D42" s="505"/>
      <c r="E42" s="506">
        <f>SUM(E36:E41)</f>
        <v>0</v>
      </c>
      <c r="F42" s="507"/>
      <c r="G42" s="474"/>
      <c r="H42" s="487"/>
      <c r="I42" s="487"/>
      <c r="J42" s="493"/>
      <c r="K42" s="493"/>
      <c r="L42" s="493"/>
      <c r="M42" s="493"/>
      <c r="N42" s="493"/>
      <c r="O42" s="493"/>
      <c r="P42" s="493"/>
      <c r="Q42" s="493"/>
      <c r="R42" s="493"/>
      <c r="S42" s="494"/>
      <c r="T42" s="494"/>
      <c r="U42" s="494"/>
      <c r="V42" s="494"/>
      <c r="W42" s="493"/>
      <c r="X42" s="493"/>
      <c r="Y42" s="493"/>
      <c r="Z42" s="493"/>
      <c r="AA42" s="492"/>
      <c r="AB42" s="493"/>
      <c r="AC42" s="493"/>
      <c r="AD42" s="493"/>
      <c r="AE42" s="493"/>
      <c r="AF42" s="493"/>
      <c r="AG42" s="493"/>
      <c r="AH42" s="415"/>
      <c r="AI42" s="503"/>
      <c r="AJ42" s="464"/>
    </row>
    <row r="43" spans="2:36" s="9" customFormat="1" ht="18.75">
      <c r="B43" s="508" t="s">
        <v>579</v>
      </c>
      <c r="C43" s="508"/>
      <c r="D43" s="508"/>
      <c r="E43" s="509"/>
      <c r="F43" s="487"/>
      <c r="G43" s="474"/>
      <c r="H43" s="487"/>
      <c r="I43" s="487"/>
      <c r="J43" s="493"/>
      <c r="K43" s="493"/>
      <c r="L43" s="493"/>
      <c r="M43" s="493"/>
      <c r="N43" s="493"/>
      <c r="O43" s="493"/>
      <c r="P43" s="493"/>
      <c r="Q43" s="493"/>
      <c r="R43" s="493"/>
      <c r="S43" s="494"/>
      <c r="T43" s="494"/>
      <c r="U43" s="494"/>
      <c r="V43" s="494"/>
      <c r="W43" s="493"/>
      <c r="X43" s="493"/>
      <c r="Y43" s="493"/>
      <c r="Z43" s="493"/>
      <c r="AA43" s="492"/>
      <c r="AB43" s="493"/>
      <c r="AC43" s="493"/>
      <c r="AD43" s="493"/>
      <c r="AE43" s="493"/>
      <c r="AF43" s="493"/>
      <c r="AG43" s="493"/>
      <c r="AH43" s="415"/>
      <c r="AI43" s="503"/>
      <c r="AJ43" s="464"/>
    </row>
    <row r="44" spans="2:36" s="9" customFormat="1" ht="18.75">
      <c r="B44" s="502" t="s">
        <v>580</v>
      </c>
      <c r="C44" s="502"/>
      <c r="D44" s="502"/>
      <c r="E44" s="510">
        <f>+'[14]BASE IMPONIBLE'!G47</f>
        <v>0</v>
      </c>
      <c r="F44" s="487"/>
      <c r="G44" s="474"/>
      <c r="H44" s="487"/>
      <c r="I44" s="487"/>
      <c r="J44" s="493"/>
      <c r="K44" s="493"/>
      <c r="L44" s="493"/>
      <c r="M44" s="493"/>
      <c r="N44" s="493"/>
      <c r="O44" s="493"/>
      <c r="P44" s="493"/>
      <c r="Q44" s="493"/>
      <c r="R44" s="493"/>
      <c r="S44" s="494"/>
      <c r="T44" s="494"/>
      <c r="U44" s="494"/>
      <c r="V44" s="494">
        <f>-E44*X12</f>
        <v>0</v>
      </c>
      <c r="W44" s="493"/>
      <c r="X44" s="493"/>
      <c r="Y44" s="493"/>
      <c r="Z44" s="493"/>
      <c r="AA44" s="492"/>
      <c r="AB44" s="493"/>
      <c r="AC44" s="493"/>
      <c r="AD44" s="493"/>
      <c r="AE44" s="493"/>
      <c r="AF44" s="493"/>
      <c r="AG44" s="493"/>
      <c r="AH44" s="415"/>
      <c r="AI44" s="503"/>
      <c r="AJ44" s="464"/>
    </row>
    <row r="45" spans="2:36" ht="19.5" thickBot="1">
      <c r="B45" s="504" t="s">
        <v>581</v>
      </c>
      <c r="C45" s="504"/>
      <c r="D45" s="504"/>
      <c r="E45" s="511"/>
      <c r="F45" s="457"/>
      <c r="G45" s="457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82"/>
      <c r="T45" s="482"/>
      <c r="U45" s="482"/>
      <c r="V45" s="482">
        <f>-E45*X12</f>
        <v>0</v>
      </c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I45" s="5"/>
      <c r="AJ45" s="5"/>
    </row>
    <row r="46" spans="2:36" s="9" customFormat="1" ht="19.5" thickBot="1">
      <c r="B46" s="498" t="s">
        <v>582</v>
      </c>
      <c r="C46" s="499"/>
      <c r="D46" s="499"/>
      <c r="E46" s="512"/>
      <c r="F46" s="512"/>
      <c r="G46" s="512"/>
      <c r="H46" s="462">
        <f t="shared" ref="H46:U46" si="7">+H27+H34</f>
        <v>27221508.168067217</v>
      </c>
      <c r="I46" s="462">
        <f t="shared" si="7"/>
        <v>27221508.168067217</v>
      </c>
      <c r="J46" s="462">
        <f t="shared" si="7"/>
        <v>0</v>
      </c>
      <c r="K46" s="462">
        <f t="shared" si="7"/>
        <v>0</v>
      </c>
      <c r="L46" s="462">
        <f t="shared" si="7"/>
        <v>0</v>
      </c>
      <c r="M46" s="462">
        <f t="shared" si="7"/>
        <v>0</v>
      </c>
      <c r="N46" s="462">
        <f t="shared" si="7"/>
        <v>0</v>
      </c>
      <c r="O46" s="462">
        <f t="shared" si="7"/>
        <v>0</v>
      </c>
      <c r="P46" s="462">
        <f t="shared" si="7"/>
        <v>0</v>
      </c>
      <c r="Q46" s="462">
        <f t="shared" si="7"/>
        <v>0</v>
      </c>
      <c r="R46" s="462">
        <f t="shared" si="7"/>
        <v>0</v>
      </c>
      <c r="S46" s="462">
        <f t="shared" si="7"/>
        <v>0</v>
      </c>
      <c r="T46" s="462">
        <f t="shared" si="7"/>
        <v>0</v>
      </c>
      <c r="U46" s="462">
        <f t="shared" si="7"/>
        <v>0</v>
      </c>
      <c r="V46" s="462">
        <f>+V27+V34+V44+V45</f>
        <v>4044607.0368067231</v>
      </c>
      <c r="W46" s="462">
        <f t="shared" ref="W46:AG46" si="8">+W27+W34</f>
        <v>0</v>
      </c>
      <c r="X46" s="462">
        <f t="shared" si="8"/>
        <v>0</v>
      </c>
      <c r="Y46" s="462">
        <f t="shared" si="8"/>
        <v>0</v>
      </c>
      <c r="Z46" s="462">
        <f t="shared" si="8"/>
        <v>0</v>
      </c>
      <c r="AA46" s="462">
        <f t="shared" si="8"/>
        <v>0</v>
      </c>
      <c r="AB46" s="462">
        <f t="shared" si="8"/>
        <v>0</v>
      </c>
      <c r="AC46" s="462">
        <f t="shared" si="8"/>
        <v>0</v>
      </c>
      <c r="AD46" s="462">
        <f t="shared" si="8"/>
        <v>0</v>
      </c>
      <c r="AE46" s="462">
        <f t="shared" si="8"/>
        <v>0</v>
      </c>
      <c r="AF46" s="462">
        <f t="shared" si="8"/>
        <v>0</v>
      </c>
      <c r="AG46" s="462">
        <f t="shared" si="8"/>
        <v>0</v>
      </c>
      <c r="AH46" s="415"/>
      <c r="AI46" s="464">
        <f>SUM(AI16:AI36)</f>
        <v>0</v>
      </c>
      <c r="AJ46" s="464"/>
    </row>
    <row r="47" spans="2:36" ht="18.75">
      <c r="B47" s="148"/>
      <c r="C47" s="148"/>
      <c r="D47" s="14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14"/>
      <c r="T47" s="414"/>
      <c r="U47" s="414"/>
      <c r="V47" s="414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I47" s="5"/>
      <c r="AJ47" s="5"/>
    </row>
    <row r="48" spans="2:36">
      <c r="V48" s="414"/>
    </row>
  </sheetData>
  <mergeCells count="22">
    <mergeCell ref="AD11:AE11"/>
    <mergeCell ref="K12:O12"/>
    <mergeCell ref="P12:Q12"/>
    <mergeCell ref="R12:R13"/>
    <mergeCell ref="S10:V10"/>
    <mergeCell ref="W10:X10"/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N106"/>
  <sheetViews>
    <sheetView zoomScale="68" zoomScaleNormal="68" workbookViewId="0">
      <selection activeCell="X23" sqref="X23"/>
    </sheetView>
  </sheetViews>
  <sheetFormatPr baseColWidth="10" defaultRowHeight="15"/>
  <cols>
    <col min="1" max="1" width="7" customWidth="1"/>
    <col min="2" max="2" width="81.85546875" customWidth="1"/>
    <col min="3" max="3" width="16.140625" bestFit="1" customWidth="1"/>
    <col min="4" max="5" width="12.140625" customWidth="1"/>
    <col min="6" max="6" width="22.85546875" bestFit="1" customWidth="1"/>
    <col min="7" max="7" width="16.5703125" bestFit="1" customWidth="1"/>
    <col min="8" max="8" width="15.28515625" bestFit="1" customWidth="1"/>
    <col min="9" max="9" width="17.85546875" customWidth="1"/>
    <col min="10" max="10" width="12.7109375" hidden="1" customWidth="1"/>
    <col min="11" max="11" width="17.85546875" hidden="1" customWidth="1"/>
    <col min="12" max="12" width="12.7109375" hidden="1" customWidth="1"/>
    <col min="13" max="13" width="13.42578125" hidden="1" customWidth="1"/>
    <col min="14" max="14" width="15" hidden="1" customWidth="1"/>
    <col min="15" max="15" width="22" bestFit="1" customWidth="1"/>
    <col min="16" max="16" width="12.7109375" customWidth="1"/>
    <col min="17" max="18" width="11.42578125" customWidth="1"/>
    <col min="19" max="19" width="15.42578125" customWidth="1"/>
    <col min="20" max="20" width="14.5703125" customWidth="1"/>
    <col min="21" max="21" width="11.42578125" customWidth="1"/>
    <col min="22" max="22" width="16.28515625" customWidth="1"/>
    <col min="23" max="24" width="13.140625" customWidth="1"/>
    <col min="25" max="25" width="13" customWidth="1"/>
    <col min="26" max="26" width="16.140625" customWidth="1"/>
    <col min="27" max="27" width="13.42578125" customWidth="1"/>
    <col min="28" max="28" width="20.5703125" customWidth="1"/>
    <col min="29" max="29" width="12" hidden="1" customWidth="1"/>
    <col min="31" max="31" width="16.140625" bestFit="1" customWidth="1"/>
    <col min="32" max="33" width="14.140625" customWidth="1"/>
    <col min="34" max="35" width="15.42578125" customWidth="1"/>
    <col min="36" max="36" width="17.140625" customWidth="1"/>
    <col min="37" max="37" width="19.28515625" style="415" bestFit="1" customWidth="1"/>
    <col min="38" max="38" width="13" bestFit="1" customWidth="1"/>
    <col min="39" max="39" width="15.42578125" customWidth="1"/>
  </cols>
  <sheetData>
    <row r="2" spans="2:40">
      <c r="B2" s="9" t="s">
        <v>757</v>
      </c>
      <c r="C2" s="9"/>
      <c r="D2" s="9"/>
      <c r="E2" s="9"/>
      <c r="F2" s="9" t="s">
        <v>501</v>
      </c>
      <c r="G2" s="9"/>
      <c r="H2" s="9"/>
      <c r="I2" s="9"/>
      <c r="J2" s="9"/>
      <c r="K2" s="9"/>
      <c r="L2" s="9"/>
      <c r="M2" s="9"/>
      <c r="N2" s="9"/>
      <c r="O2" s="9"/>
      <c r="P2" s="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J2" s="5"/>
      <c r="AK2" s="5"/>
    </row>
    <row r="7" spans="2:40" ht="15.75" thickBot="1"/>
    <row r="8" spans="2:40" ht="19.5" thickBot="1">
      <c r="T8" s="815" t="s">
        <v>502</v>
      </c>
      <c r="U8" s="816"/>
      <c r="V8" s="816"/>
      <c r="W8" s="816"/>
      <c r="X8" s="816"/>
      <c r="Y8" s="816"/>
      <c r="Z8" s="816"/>
      <c r="AA8" s="816"/>
      <c r="AB8" s="816"/>
      <c r="AC8" s="816"/>
      <c r="AD8" s="816"/>
      <c r="AE8" s="816"/>
      <c r="AF8" s="816"/>
      <c r="AG8" s="816"/>
      <c r="AH8" s="876"/>
      <c r="AI8" s="646"/>
      <c r="AJ8" s="647"/>
    </row>
    <row r="9" spans="2:40" ht="15.75" thickBot="1">
      <c r="G9" s="5"/>
      <c r="H9" s="5"/>
      <c r="I9" s="5"/>
      <c r="J9" s="5"/>
      <c r="K9" s="5"/>
      <c r="L9" s="5"/>
      <c r="M9" s="5"/>
      <c r="N9" s="5"/>
      <c r="O9" s="5"/>
      <c r="P9" s="5"/>
      <c r="T9" s="790" t="s">
        <v>503</v>
      </c>
      <c r="U9" s="793"/>
      <c r="V9" s="793"/>
      <c r="W9" s="793"/>
      <c r="X9" s="793"/>
      <c r="Y9" s="793"/>
      <c r="Z9" s="793"/>
      <c r="AA9" s="793"/>
      <c r="AB9" s="793"/>
      <c r="AC9" s="791"/>
      <c r="AD9" s="794" t="s">
        <v>504</v>
      </c>
      <c r="AE9" s="795"/>
      <c r="AF9" s="795"/>
      <c r="AG9" s="795"/>
      <c r="AH9" s="796"/>
      <c r="AI9" s="419"/>
      <c r="AJ9" s="797" t="s">
        <v>505</v>
      </c>
    </row>
    <row r="10" spans="2:40" ht="15.75" thickBot="1">
      <c r="G10" s="5"/>
      <c r="H10" s="5"/>
      <c r="I10" s="5"/>
      <c r="J10" s="5"/>
      <c r="K10" s="5"/>
      <c r="L10" s="5"/>
      <c r="M10" s="5"/>
      <c r="N10" s="5"/>
      <c r="O10" s="5"/>
      <c r="P10" s="5"/>
      <c r="T10" s="420"/>
      <c r="U10" s="648"/>
      <c r="V10" s="649"/>
      <c r="W10" s="650" t="s">
        <v>524</v>
      </c>
      <c r="X10" s="650">
        <v>0.369863</v>
      </c>
      <c r="Y10" s="416"/>
      <c r="Z10" s="416"/>
      <c r="AA10" s="420" t="s">
        <v>524</v>
      </c>
      <c r="AB10" s="651">
        <f>+X10</f>
        <v>0.369863</v>
      </c>
      <c r="AC10" s="652"/>
      <c r="AD10" s="653" t="s">
        <v>525</v>
      </c>
      <c r="AE10" s="654" t="e">
        <f>+AE35/AJ35</f>
        <v>#DIV/0!</v>
      </c>
      <c r="AF10" s="655" t="s">
        <v>524</v>
      </c>
      <c r="AG10" s="656">
        <v>0</v>
      </c>
      <c r="AH10" s="419"/>
      <c r="AI10" s="420"/>
      <c r="AJ10" s="798"/>
    </row>
    <row r="11" spans="2:40" ht="26.25" customHeight="1" thickBot="1">
      <c r="B11" s="797" t="s">
        <v>506</v>
      </c>
      <c r="C11" s="800" t="s">
        <v>507</v>
      </c>
      <c r="D11" s="865"/>
      <c r="E11" s="866"/>
      <c r="F11" s="812" t="s">
        <v>508</v>
      </c>
      <c r="G11" s="812" t="s">
        <v>509</v>
      </c>
      <c r="H11" s="812" t="s">
        <v>510</v>
      </c>
      <c r="I11" s="815" t="s">
        <v>511</v>
      </c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657"/>
      <c r="U11" s="877" t="s">
        <v>512</v>
      </c>
      <c r="V11" s="878"/>
      <c r="W11" s="877" t="s">
        <v>512</v>
      </c>
      <c r="X11" s="878"/>
      <c r="Y11" s="790" t="s">
        <v>513</v>
      </c>
      <c r="Z11" s="791"/>
      <c r="AA11" s="879" t="s">
        <v>758</v>
      </c>
      <c r="AB11" s="880"/>
      <c r="AC11" s="658" t="s">
        <v>514</v>
      </c>
      <c r="AD11" s="790" t="s">
        <v>512</v>
      </c>
      <c r="AE11" s="791"/>
      <c r="AF11" s="874" t="s">
        <v>512</v>
      </c>
      <c r="AG11" s="875"/>
      <c r="AH11" s="419" t="s">
        <v>514</v>
      </c>
      <c r="AI11" s="657"/>
      <c r="AJ11" s="798"/>
    </row>
    <row r="12" spans="2:40" ht="26.25" customHeight="1" thickBot="1">
      <c r="B12" s="798"/>
      <c r="C12" s="801"/>
      <c r="D12" s="867"/>
      <c r="E12" s="868"/>
      <c r="F12" s="813"/>
      <c r="G12" s="813"/>
      <c r="H12" s="813"/>
      <c r="I12" s="425"/>
      <c r="J12" s="659"/>
      <c r="K12" s="659"/>
      <c r="L12" s="659"/>
      <c r="M12" s="659"/>
      <c r="N12" s="659"/>
      <c r="O12" s="659"/>
      <c r="P12" s="659"/>
      <c r="Q12" s="659"/>
      <c r="R12" s="659"/>
      <c r="S12" s="427"/>
      <c r="T12" s="657"/>
      <c r="U12" s="877" t="s">
        <v>516</v>
      </c>
      <c r="V12" s="878"/>
      <c r="W12" s="877" t="s">
        <v>759</v>
      </c>
      <c r="X12" s="878"/>
      <c r="Y12" s="817" t="s">
        <v>760</v>
      </c>
      <c r="Z12" s="819"/>
      <c r="AA12" s="660" t="s">
        <v>761</v>
      </c>
      <c r="AB12" s="661"/>
      <c r="AC12" s="662" t="s">
        <v>520</v>
      </c>
      <c r="AD12" s="817" t="s">
        <v>760</v>
      </c>
      <c r="AE12" s="819"/>
      <c r="AF12" s="881" t="s">
        <v>762</v>
      </c>
      <c r="AG12" s="882"/>
      <c r="AH12" s="421" t="s">
        <v>520</v>
      </c>
      <c r="AI12" s="657"/>
      <c r="AJ12" s="798"/>
    </row>
    <row r="13" spans="2:40" ht="27.75" customHeight="1" thickBot="1">
      <c r="B13" s="798"/>
      <c r="C13" s="801"/>
      <c r="D13" s="867"/>
      <c r="E13" s="868"/>
      <c r="F13" s="813"/>
      <c r="G13" s="813"/>
      <c r="H13" s="813"/>
      <c r="I13" s="780" t="s">
        <v>521</v>
      </c>
      <c r="J13" s="781"/>
      <c r="K13" s="781"/>
      <c r="L13" s="781"/>
      <c r="M13" s="781"/>
      <c r="N13" s="781"/>
      <c r="O13" s="781"/>
      <c r="P13" s="782"/>
      <c r="Q13" s="783" t="s">
        <v>522</v>
      </c>
      <c r="R13" s="784"/>
      <c r="S13" s="785" t="s">
        <v>523</v>
      </c>
      <c r="T13" s="431"/>
      <c r="U13" s="417"/>
      <c r="V13" s="647"/>
      <c r="W13" s="417"/>
      <c r="X13" s="663"/>
      <c r="Y13" s="417"/>
      <c r="Z13" s="663"/>
      <c r="AA13" s="664"/>
      <c r="AB13" s="665"/>
      <c r="AC13" s="666">
        <v>0.08</v>
      </c>
      <c r="AD13" s="667"/>
      <c r="AE13" s="647"/>
      <c r="AF13" s="668"/>
      <c r="AG13" s="669"/>
      <c r="AH13" s="670">
        <v>0.08</v>
      </c>
      <c r="AI13" s="431"/>
      <c r="AJ13" s="798"/>
    </row>
    <row r="14" spans="2:40" ht="27.75" customHeight="1" thickBot="1">
      <c r="B14" s="798"/>
      <c r="C14" s="801"/>
      <c r="D14" s="867"/>
      <c r="E14" s="868"/>
      <c r="F14" s="813"/>
      <c r="G14" s="813"/>
      <c r="H14" s="813"/>
      <c r="I14" s="671" t="s">
        <v>763</v>
      </c>
      <c r="J14" s="871" t="s">
        <v>764</v>
      </c>
      <c r="K14" s="872"/>
      <c r="L14" s="873"/>
      <c r="M14" s="871" t="s">
        <v>765</v>
      </c>
      <c r="N14" s="872"/>
      <c r="O14" s="872"/>
      <c r="P14" s="873"/>
      <c r="Q14" s="672"/>
      <c r="R14" s="673"/>
      <c r="S14" s="785"/>
      <c r="T14" s="431"/>
      <c r="U14" s="439"/>
      <c r="V14" s="448"/>
      <c r="W14" s="439"/>
      <c r="X14" s="448"/>
      <c r="Y14" s="439"/>
      <c r="Z14" s="448"/>
      <c r="AA14" s="674"/>
      <c r="AB14" s="675"/>
      <c r="AC14" s="666"/>
      <c r="AD14" s="439"/>
      <c r="AE14" s="676"/>
      <c r="AF14" s="677"/>
      <c r="AG14" s="678"/>
      <c r="AH14" s="679"/>
      <c r="AI14" s="431"/>
      <c r="AJ14" s="798"/>
    </row>
    <row r="15" spans="2:40" s="9" customFormat="1" ht="180.75" thickBot="1">
      <c r="B15" s="799"/>
      <c r="C15" s="802"/>
      <c r="D15" s="869"/>
      <c r="E15" s="870"/>
      <c r="F15" s="814"/>
      <c r="G15" s="814"/>
      <c r="H15" s="814"/>
      <c r="I15" s="680" t="s">
        <v>526</v>
      </c>
      <c r="J15" s="680" t="s">
        <v>766</v>
      </c>
      <c r="K15" s="681" t="s">
        <v>767</v>
      </c>
      <c r="L15" s="680" t="s">
        <v>768</v>
      </c>
      <c r="M15" s="682" t="s">
        <v>528</v>
      </c>
      <c r="N15" s="680" t="s">
        <v>769</v>
      </c>
      <c r="O15" s="680" t="s">
        <v>529</v>
      </c>
      <c r="P15" s="680" t="s">
        <v>770</v>
      </c>
      <c r="Q15" s="442" t="s">
        <v>531</v>
      </c>
      <c r="R15" s="443" t="s">
        <v>532</v>
      </c>
      <c r="S15" s="786"/>
      <c r="T15" s="683" t="s">
        <v>771</v>
      </c>
      <c r="U15" s="449" t="s">
        <v>533</v>
      </c>
      <c r="V15" s="449" t="s">
        <v>534</v>
      </c>
      <c r="W15" s="449" t="s">
        <v>533</v>
      </c>
      <c r="X15" s="449" t="s">
        <v>534</v>
      </c>
      <c r="Y15" s="449" t="s">
        <v>533</v>
      </c>
      <c r="Z15" s="449" t="s">
        <v>534</v>
      </c>
      <c r="AA15" s="684" t="s">
        <v>533</v>
      </c>
      <c r="AB15" s="684" t="s">
        <v>534</v>
      </c>
      <c r="AC15" s="685" t="s">
        <v>535</v>
      </c>
      <c r="AD15" s="439" t="s">
        <v>536</v>
      </c>
      <c r="AE15" s="449" t="s">
        <v>534</v>
      </c>
      <c r="AF15" s="674" t="s">
        <v>536</v>
      </c>
      <c r="AG15" s="684" t="s">
        <v>534</v>
      </c>
      <c r="AH15" s="448" t="s">
        <v>536</v>
      </c>
      <c r="AI15" s="686" t="s">
        <v>772</v>
      </c>
      <c r="AJ15" s="799"/>
      <c r="AK15" s="415"/>
    </row>
    <row r="16" spans="2:40" ht="18.75">
      <c r="B16" s="687" t="s">
        <v>773</v>
      </c>
      <c r="C16" s="584"/>
      <c r="D16" s="584"/>
      <c r="E16" s="584"/>
      <c r="F16" s="558"/>
      <c r="G16" s="558"/>
      <c r="H16" s="558"/>
      <c r="I16" s="558"/>
      <c r="J16" s="558"/>
      <c r="K16" s="558"/>
      <c r="L16" s="558"/>
      <c r="M16" s="558"/>
      <c r="N16" s="688"/>
      <c r="O16" s="558"/>
      <c r="P16" s="688"/>
      <c r="Q16" s="558"/>
      <c r="R16" s="688"/>
      <c r="S16" s="689"/>
      <c r="T16" s="689"/>
      <c r="U16" s="689"/>
      <c r="V16" s="689"/>
      <c r="W16" s="689"/>
      <c r="X16" s="689"/>
      <c r="Y16" s="689"/>
      <c r="Z16" s="689"/>
      <c r="AA16" s="689"/>
      <c r="AB16" s="689"/>
      <c r="AC16" s="558"/>
      <c r="AD16" s="558"/>
      <c r="AE16" s="558"/>
      <c r="AF16" s="558"/>
      <c r="AG16" s="558"/>
      <c r="AH16" s="558"/>
      <c r="AI16" s="558"/>
      <c r="AJ16" s="690"/>
      <c r="AK16" s="455"/>
      <c r="AN16" s="5"/>
    </row>
    <row r="17" spans="2:40" ht="18.75">
      <c r="B17" s="691" t="s">
        <v>774</v>
      </c>
      <c r="C17" s="25"/>
      <c r="D17" s="25"/>
      <c r="E17" s="25"/>
      <c r="F17" s="452">
        <f>SUM(G17:S17)</f>
        <v>27221508.168067217</v>
      </c>
      <c r="G17" s="333">
        <f>+'rtre los andes at 2024'!I46</f>
        <v>27221508.168067217</v>
      </c>
      <c r="H17" s="333">
        <f>+'[16]RTRE 2022 Spa A'!H94</f>
        <v>0</v>
      </c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>
        <f>+'rtre los andes at 2024'!V46</f>
        <v>4044607.0368067231</v>
      </c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692"/>
      <c r="AL17" s="148"/>
      <c r="AN17" s="5"/>
    </row>
    <row r="18" spans="2:40" ht="18.75">
      <c r="B18" s="691" t="s">
        <v>775</v>
      </c>
      <c r="C18" s="25"/>
      <c r="D18" s="25"/>
      <c r="E18" s="25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692"/>
      <c r="AL18" s="148"/>
      <c r="AN18" s="5"/>
    </row>
    <row r="19" spans="2:40" ht="19.5" thickBot="1">
      <c r="B19" s="693" t="s">
        <v>538</v>
      </c>
      <c r="C19" s="590"/>
      <c r="D19" s="694">
        <v>0</v>
      </c>
      <c r="E19" s="694"/>
      <c r="F19" s="695">
        <f t="shared" ref="F19" si="0">SUM(G19:S19)</f>
        <v>0</v>
      </c>
      <c r="G19" s="696">
        <f>(G17+G18)*$D$19</f>
        <v>0</v>
      </c>
      <c r="H19" s="696">
        <f t="shared" ref="H19:AJ19" si="1">(H17+H18)*$D$19</f>
        <v>0</v>
      </c>
      <c r="I19" s="696">
        <f>(I17+I18)*$D$19</f>
        <v>0</v>
      </c>
      <c r="J19" s="696">
        <f t="shared" si="1"/>
        <v>0</v>
      </c>
      <c r="K19" s="696">
        <f t="shared" si="1"/>
        <v>0</v>
      </c>
      <c r="L19" s="696">
        <f t="shared" si="1"/>
        <v>0</v>
      </c>
      <c r="M19" s="696">
        <f t="shared" si="1"/>
        <v>0</v>
      </c>
      <c r="N19" s="696">
        <f t="shared" si="1"/>
        <v>0</v>
      </c>
      <c r="O19" s="696">
        <f>(O17+O18)*$D$19</f>
        <v>0</v>
      </c>
      <c r="P19" s="696">
        <f t="shared" si="1"/>
        <v>0</v>
      </c>
      <c r="Q19" s="696">
        <f t="shared" si="1"/>
        <v>0</v>
      </c>
      <c r="R19" s="696">
        <f t="shared" si="1"/>
        <v>0</v>
      </c>
      <c r="S19" s="696">
        <f t="shared" si="1"/>
        <v>0</v>
      </c>
      <c r="T19" s="696">
        <f t="shared" si="1"/>
        <v>0</v>
      </c>
      <c r="U19" s="696">
        <f t="shared" si="1"/>
        <v>0</v>
      </c>
      <c r="V19" s="696">
        <f t="shared" si="1"/>
        <v>0</v>
      </c>
      <c r="W19" s="696">
        <f t="shared" si="1"/>
        <v>0</v>
      </c>
      <c r="X19" s="696">
        <f t="shared" si="1"/>
        <v>0</v>
      </c>
      <c r="Y19" s="696">
        <f t="shared" si="1"/>
        <v>0</v>
      </c>
      <c r="Z19" s="696">
        <f t="shared" si="1"/>
        <v>0</v>
      </c>
      <c r="AA19" s="696">
        <f t="shared" si="1"/>
        <v>0</v>
      </c>
      <c r="AB19" s="696">
        <f t="shared" si="1"/>
        <v>0</v>
      </c>
      <c r="AC19" s="696">
        <f t="shared" si="1"/>
        <v>0</v>
      </c>
      <c r="AD19" s="696">
        <f t="shared" si="1"/>
        <v>0</v>
      </c>
      <c r="AE19" s="696">
        <f t="shared" si="1"/>
        <v>0</v>
      </c>
      <c r="AF19" s="696">
        <f t="shared" si="1"/>
        <v>0</v>
      </c>
      <c r="AG19" s="696">
        <f t="shared" si="1"/>
        <v>0</v>
      </c>
      <c r="AH19" s="696">
        <f t="shared" si="1"/>
        <v>0</v>
      </c>
      <c r="AI19" s="696">
        <f t="shared" si="1"/>
        <v>0</v>
      </c>
      <c r="AJ19" s="697">
        <f t="shared" si="1"/>
        <v>0</v>
      </c>
      <c r="AK19" s="698"/>
      <c r="AL19" s="699"/>
      <c r="AM19" s="5"/>
    </row>
    <row r="20" spans="2:40" s="9" customFormat="1" ht="19.5" thickBot="1">
      <c r="B20" s="459" t="s">
        <v>776</v>
      </c>
      <c r="C20" s="461"/>
      <c r="D20" s="461"/>
      <c r="E20" s="461"/>
      <c r="F20" s="462">
        <f>SUM(F16:F19)</f>
        <v>27221508.168067217</v>
      </c>
      <c r="G20" s="462">
        <f t="shared" ref="G20:AI20" si="2">SUM(G16:G19)</f>
        <v>27221508.168067217</v>
      </c>
      <c r="H20" s="462">
        <f t="shared" si="2"/>
        <v>0</v>
      </c>
      <c r="I20" s="462">
        <f t="shared" si="2"/>
        <v>0</v>
      </c>
      <c r="J20" s="462">
        <f t="shared" si="2"/>
        <v>0</v>
      </c>
      <c r="K20" s="462">
        <f t="shared" si="2"/>
        <v>0</v>
      </c>
      <c r="L20" s="462">
        <f t="shared" si="2"/>
        <v>0</v>
      </c>
      <c r="M20" s="462">
        <f t="shared" si="2"/>
        <v>0</v>
      </c>
      <c r="N20" s="462">
        <f t="shared" si="2"/>
        <v>0</v>
      </c>
      <c r="O20" s="462">
        <f>SUM(O16:O19)</f>
        <v>0</v>
      </c>
      <c r="P20" s="462">
        <f t="shared" si="2"/>
        <v>0</v>
      </c>
      <c r="Q20" s="462">
        <f t="shared" si="2"/>
        <v>0</v>
      </c>
      <c r="R20" s="462">
        <f t="shared" si="2"/>
        <v>0</v>
      </c>
      <c r="S20" s="462">
        <f t="shared" si="2"/>
        <v>0</v>
      </c>
      <c r="T20" s="462">
        <f t="shared" si="2"/>
        <v>0</v>
      </c>
      <c r="U20" s="462">
        <f t="shared" si="2"/>
        <v>0</v>
      </c>
      <c r="V20" s="462">
        <f t="shared" si="2"/>
        <v>0</v>
      </c>
      <c r="W20" s="462">
        <f t="shared" si="2"/>
        <v>0</v>
      </c>
      <c r="X20" s="462">
        <f t="shared" si="2"/>
        <v>4044607.0368067231</v>
      </c>
      <c r="Y20" s="462">
        <f t="shared" si="2"/>
        <v>0</v>
      </c>
      <c r="Z20" s="462">
        <f t="shared" si="2"/>
        <v>0</v>
      </c>
      <c r="AA20" s="462">
        <f t="shared" si="2"/>
        <v>0</v>
      </c>
      <c r="AB20" s="462">
        <f t="shared" si="2"/>
        <v>0</v>
      </c>
      <c r="AC20" s="462">
        <f t="shared" si="2"/>
        <v>0</v>
      </c>
      <c r="AD20" s="462">
        <f t="shared" si="2"/>
        <v>0</v>
      </c>
      <c r="AE20" s="462">
        <f t="shared" si="2"/>
        <v>0</v>
      </c>
      <c r="AF20" s="462">
        <f t="shared" si="2"/>
        <v>0</v>
      </c>
      <c r="AG20" s="462">
        <f t="shared" si="2"/>
        <v>0</v>
      </c>
      <c r="AH20" s="462">
        <f t="shared" si="2"/>
        <v>0</v>
      </c>
      <c r="AI20" s="462">
        <f t="shared" si="2"/>
        <v>0</v>
      </c>
      <c r="AJ20" s="500">
        <f>SUM(AJ16:AJ19)</f>
        <v>0</v>
      </c>
      <c r="AK20" s="700"/>
      <c r="AL20" s="701"/>
      <c r="AM20" s="464"/>
    </row>
    <row r="21" spans="2:40" s="9" customFormat="1" ht="18.75">
      <c r="B21" s="702" t="s">
        <v>777</v>
      </c>
      <c r="C21" s="465"/>
      <c r="D21" s="465"/>
      <c r="E21" s="465"/>
      <c r="F21" s="452">
        <f t="shared" ref="F21:F24" si="3">SUM(G21:S21)</f>
        <v>0</v>
      </c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66"/>
      <c r="AG21" s="466"/>
      <c r="AH21" s="466"/>
      <c r="AI21" s="466"/>
      <c r="AJ21" s="466"/>
      <c r="AK21" s="700"/>
      <c r="AL21" s="701"/>
      <c r="AM21" s="464"/>
    </row>
    <row r="22" spans="2:40" s="9" customFormat="1" ht="18.75">
      <c r="B22" s="703" t="s">
        <v>778</v>
      </c>
      <c r="C22" s="469"/>
      <c r="D22" s="469"/>
      <c r="E22" s="469"/>
      <c r="F22" s="452">
        <f t="shared" si="3"/>
        <v>0</v>
      </c>
      <c r="G22" s="333"/>
      <c r="H22" s="360"/>
      <c r="I22" s="360"/>
      <c r="J22" s="360"/>
      <c r="K22" s="360"/>
      <c r="L22" s="360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704"/>
      <c r="AL22" s="701"/>
      <c r="AM22" s="464"/>
    </row>
    <row r="23" spans="2:40" s="9" customFormat="1" ht="18.75">
      <c r="B23" s="470" t="s">
        <v>779</v>
      </c>
      <c r="C23" s="469"/>
      <c r="D23" s="469"/>
      <c r="E23" s="469"/>
      <c r="F23" s="452">
        <f t="shared" si="3"/>
        <v>39000000</v>
      </c>
      <c r="G23" s="333">
        <f>+'rtre YYY SAC AT 2024'!I43</f>
        <v>39000000</v>
      </c>
      <c r="H23" s="705"/>
      <c r="I23" s="705"/>
      <c r="J23" s="705"/>
      <c r="K23" s="705"/>
      <c r="L23" s="705"/>
      <c r="M23" s="705"/>
      <c r="N23" s="705"/>
      <c r="O23" s="705"/>
      <c r="P23" s="705"/>
      <c r="Q23" s="705"/>
      <c r="R23" s="705"/>
      <c r="S23" s="705"/>
      <c r="T23" s="705"/>
      <c r="U23" s="705"/>
      <c r="V23" s="705"/>
      <c r="W23" s="705"/>
      <c r="X23" s="705">
        <f>+'rtre YYY SAC AT 2024'!V43</f>
        <v>325580</v>
      </c>
      <c r="Y23" s="705"/>
      <c r="Z23" s="705"/>
      <c r="AA23" s="705"/>
      <c r="AB23" s="705"/>
      <c r="AC23" s="705"/>
      <c r="AD23" s="705"/>
      <c r="AE23" s="705"/>
      <c r="AF23" s="705"/>
      <c r="AG23" s="705"/>
      <c r="AH23" s="705"/>
      <c r="AI23" s="705"/>
      <c r="AJ23" s="705"/>
      <c r="AK23" s="692"/>
      <c r="AL23" s="701"/>
      <c r="AM23" s="464"/>
    </row>
    <row r="24" spans="2:40" s="9" customFormat="1" ht="19.5" thickBot="1">
      <c r="B24" s="470" t="s">
        <v>780</v>
      </c>
      <c r="C24" s="469"/>
      <c r="D24" s="469"/>
      <c r="E24" s="469"/>
      <c r="F24" s="452">
        <f t="shared" si="3"/>
        <v>0</v>
      </c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5"/>
      <c r="R24" s="705"/>
      <c r="S24" s="705"/>
      <c r="T24" s="705"/>
      <c r="U24" s="705"/>
      <c r="V24" s="705"/>
      <c r="W24" s="705"/>
      <c r="X24" s="705"/>
      <c r="Y24" s="705"/>
      <c r="Z24" s="705"/>
      <c r="AA24" s="705"/>
      <c r="AB24" s="705"/>
      <c r="AC24" s="705"/>
      <c r="AD24" s="705"/>
      <c r="AE24" s="705"/>
      <c r="AF24" s="705"/>
      <c r="AG24" s="705"/>
      <c r="AH24" s="705"/>
      <c r="AI24" s="705"/>
      <c r="AJ24" s="705"/>
      <c r="AK24" s="700"/>
      <c r="AL24" s="701"/>
      <c r="AM24" s="464"/>
    </row>
    <row r="25" spans="2:40" s="9" customFormat="1" ht="19.5" thickBot="1">
      <c r="B25" s="459" t="s">
        <v>781</v>
      </c>
      <c r="C25" s="461"/>
      <c r="D25" s="461"/>
      <c r="E25" s="461"/>
      <c r="F25" s="462">
        <f>SUM(F20:F24)</f>
        <v>66221508.168067217</v>
      </c>
      <c r="G25" s="462">
        <f t="shared" ref="G25:AJ25" si="4">SUM(G20:G24)</f>
        <v>66221508.168067217</v>
      </c>
      <c r="H25" s="462">
        <f t="shared" si="4"/>
        <v>0</v>
      </c>
      <c r="I25" s="462">
        <f t="shared" si="4"/>
        <v>0</v>
      </c>
      <c r="J25" s="462">
        <f t="shared" si="4"/>
        <v>0</v>
      </c>
      <c r="K25" s="462">
        <f t="shared" si="4"/>
        <v>0</v>
      </c>
      <c r="L25" s="462">
        <f t="shared" si="4"/>
        <v>0</v>
      </c>
      <c r="M25" s="462">
        <f t="shared" si="4"/>
        <v>0</v>
      </c>
      <c r="N25" s="462">
        <f t="shared" si="4"/>
        <v>0</v>
      </c>
      <c r="O25" s="462">
        <f t="shared" si="4"/>
        <v>0</v>
      </c>
      <c r="P25" s="462">
        <f t="shared" si="4"/>
        <v>0</v>
      </c>
      <c r="Q25" s="462">
        <f t="shared" si="4"/>
        <v>0</v>
      </c>
      <c r="R25" s="462">
        <f t="shared" si="4"/>
        <v>0</v>
      </c>
      <c r="S25" s="462">
        <f t="shared" si="4"/>
        <v>0</v>
      </c>
      <c r="T25" s="462">
        <f t="shared" si="4"/>
        <v>0</v>
      </c>
      <c r="U25" s="462">
        <f t="shared" si="4"/>
        <v>0</v>
      </c>
      <c r="V25" s="462">
        <f t="shared" si="4"/>
        <v>0</v>
      </c>
      <c r="W25" s="462">
        <f t="shared" si="4"/>
        <v>0</v>
      </c>
      <c r="X25" s="462">
        <f t="shared" si="4"/>
        <v>4370187.0368067231</v>
      </c>
      <c r="Y25" s="462">
        <f t="shared" si="4"/>
        <v>0</v>
      </c>
      <c r="Z25" s="462">
        <f t="shared" si="4"/>
        <v>0</v>
      </c>
      <c r="AA25" s="462">
        <f t="shared" si="4"/>
        <v>0</v>
      </c>
      <c r="AB25" s="462">
        <f t="shared" si="4"/>
        <v>0</v>
      </c>
      <c r="AC25" s="462">
        <f t="shared" si="4"/>
        <v>0</v>
      </c>
      <c r="AD25" s="462">
        <f t="shared" si="4"/>
        <v>0</v>
      </c>
      <c r="AE25" s="462">
        <f t="shared" si="4"/>
        <v>0</v>
      </c>
      <c r="AF25" s="462">
        <f t="shared" si="4"/>
        <v>0</v>
      </c>
      <c r="AG25" s="462">
        <f t="shared" si="4"/>
        <v>0</v>
      </c>
      <c r="AH25" s="462">
        <f t="shared" si="4"/>
        <v>0</v>
      </c>
      <c r="AI25" s="462">
        <f t="shared" si="4"/>
        <v>0</v>
      </c>
      <c r="AJ25" s="462">
        <f t="shared" si="4"/>
        <v>0</v>
      </c>
      <c r="AK25" s="700"/>
      <c r="AL25" s="701"/>
      <c r="AM25" s="464"/>
    </row>
    <row r="26" spans="2:40" s="9" customFormat="1" ht="18.75">
      <c r="B26" s="468" t="s">
        <v>540</v>
      </c>
      <c r="C26" s="469"/>
      <c r="D26" s="469"/>
      <c r="E26" s="469"/>
      <c r="F26" s="705">
        <f>SUM(G26:S26)</f>
        <v>-66221508.168067217</v>
      </c>
      <c r="G26" s="333">
        <f>-G25</f>
        <v>-66221508.168067217</v>
      </c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701"/>
      <c r="AL26" s="464"/>
      <c r="AM26" s="464"/>
    </row>
    <row r="27" spans="2:40" s="9" customFormat="1" ht="18.75">
      <c r="B27" s="706" t="s">
        <v>543</v>
      </c>
      <c r="C27" s="707"/>
      <c r="D27" s="25"/>
      <c r="E27" s="469"/>
      <c r="F27" s="466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700"/>
      <c r="AL27" s="464"/>
      <c r="AM27" s="464"/>
    </row>
    <row r="28" spans="2:40" s="9" customFormat="1" ht="18.75">
      <c r="B28" s="706" t="s">
        <v>782</v>
      </c>
      <c r="C28" s="707"/>
      <c r="D28" s="25"/>
      <c r="E28" s="469"/>
      <c r="F28" s="705">
        <f>SUM(G28:S28)</f>
        <v>0</v>
      </c>
      <c r="G28" s="333">
        <f>+C28</f>
        <v>0</v>
      </c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700"/>
      <c r="AL28" s="464"/>
      <c r="AM28" s="464"/>
    </row>
    <row r="29" spans="2:40" s="9" customFormat="1" ht="18.75">
      <c r="B29" s="468" t="s">
        <v>783</v>
      </c>
      <c r="C29" s="707"/>
      <c r="D29" s="25"/>
      <c r="E29" s="469"/>
      <c r="F29" s="466">
        <f t="shared" ref="F29" si="5">SUM(G29:S29)</f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464"/>
      <c r="AL29" s="464"/>
      <c r="AM29" s="464"/>
    </row>
    <row r="30" spans="2:40" s="9" customFormat="1" ht="18.75">
      <c r="B30" s="468" t="s">
        <v>544</v>
      </c>
      <c r="C30" s="707"/>
      <c r="D30" s="25"/>
      <c r="E30" s="469"/>
      <c r="F30" s="466">
        <f>SUM(G30:S30)</f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464"/>
      <c r="AL30" s="464"/>
      <c r="AM30" s="464"/>
    </row>
    <row r="31" spans="2:40" ht="18.75">
      <c r="B31" s="468" t="s">
        <v>546</v>
      </c>
      <c r="C31" s="707"/>
      <c r="D31" s="712">
        <v>0.125</v>
      </c>
      <c r="E31" s="474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60">
        <f>C31*D31</f>
        <v>0</v>
      </c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L31" s="5"/>
      <c r="AM31" s="5"/>
    </row>
    <row r="32" spans="2:40" ht="18.75">
      <c r="B32" s="456" t="s">
        <v>547</v>
      </c>
      <c r="C32" s="511">
        <v>0</v>
      </c>
      <c r="D32" s="708"/>
      <c r="E32" s="708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709"/>
      <c r="AA32" s="709"/>
      <c r="AB32" s="709"/>
      <c r="AC32" s="709"/>
      <c r="AD32" s="709"/>
      <c r="AE32" s="709"/>
      <c r="AF32" s="709"/>
      <c r="AG32" s="709"/>
      <c r="AH32" s="709"/>
      <c r="AI32" s="709"/>
      <c r="AJ32" s="709"/>
      <c r="AL32" s="5"/>
      <c r="AM32" s="5"/>
    </row>
    <row r="33" spans="2:39" ht="18.75">
      <c r="B33" s="456" t="s">
        <v>547</v>
      </c>
      <c r="C33" s="511"/>
      <c r="D33" s="708"/>
      <c r="E33" s="708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L33" s="5"/>
      <c r="AM33" s="5"/>
    </row>
    <row r="34" spans="2:39" ht="19.5" thickBot="1">
      <c r="B34" s="456" t="s">
        <v>547</v>
      </c>
      <c r="C34" s="511"/>
      <c r="D34" s="708"/>
      <c r="E34" s="708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L34" s="5"/>
      <c r="AM34" s="5"/>
    </row>
    <row r="35" spans="2:39" s="9" customFormat="1" ht="19.5" thickBot="1">
      <c r="B35" s="459" t="s">
        <v>548</v>
      </c>
      <c r="C35" s="461"/>
      <c r="D35" s="461"/>
      <c r="E35" s="461"/>
      <c r="F35" s="462">
        <f t="shared" ref="F35:AJ35" si="6">SUM(F25:F34)</f>
        <v>0</v>
      </c>
      <c r="G35" s="462">
        <f t="shared" si="6"/>
        <v>0</v>
      </c>
      <c r="H35" s="462">
        <f t="shared" si="6"/>
        <v>0</v>
      </c>
      <c r="I35" s="462">
        <f t="shared" si="6"/>
        <v>0</v>
      </c>
      <c r="J35" s="462">
        <f t="shared" si="6"/>
        <v>0</v>
      </c>
      <c r="K35" s="462">
        <f t="shared" si="6"/>
        <v>0</v>
      </c>
      <c r="L35" s="462">
        <f t="shared" si="6"/>
        <v>0</v>
      </c>
      <c r="M35" s="462">
        <f t="shared" si="6"/>
        <v>0</v>
      </c>
      <c r="N35" s="462">
        <f t="shared" si="6"/>
        <v>0</v>
      </c>
      <c r="O35" s="462">
        <f t="shared" si="6"/>
        <v>0</v>
      </c>
      <c r="P35" s="462">
        <f t="shared" si="6"/>
        <v>0</v>
      </c>
      <c r="Q35" s="462">
        <f t="shared" si="6"/>
        <v>0</v>
      </c>
      <c r="R35" s="462">
        <f t="shared" si="6"/>
        <v>0</v>
      </c>
      <c r="S35" s="462">
        <f t="shared" si="6"/>
        <v>0</v>
      </c>
      <c r="T35" s="462">
        <f t="shared" si="6"/>
        <v>0</v>
      </c>
      <c r="U35" s="462">
        <f t="shared" si="6"/>
        <v>0</v>
      </c>
      <c r="V35" s="462">
        <f t="shared" si="6"/>
        <v>0</v>
      </c>
      <c r="W35" s="462">
        <f t="shared" si="6"/>
        <v>0</v>
      </c>
      <c r="X35" s="462">
        <f t="shared" si="6"/>
        <v>4370187.0368067231</v>
      </c>
      <c r="Y35" s="462">
        <f t="shared" si="6"/>
        <v>0</v>
      </c>
      <c r="Z35" s="462">
        <f t="shared" si="6"/>
        <v>0</v>
      </c>
      <c r="AA35" s="462">
        <f t="shared" si="6"/>
        <v>0</v>
      </c>
      <c r="AB35" s="462">
        <f t="shared" si="6"/>
        <v>0</v>
      </c>
      <c r="AC35" s="462">
        <f t="shared" si="6"/>
        <v>0</v>
      </c>
      <c r="AD35" s="462">
        <f t="shared" si="6"/>
        <v>0</v>
      </c>
      <c r="AE35" s="462">
        <f t="shared" si="6"/>
        <v>0</v>
      </c>
      <c r="AF35" s="462">
        <f t="shared" si="6"/>
        <v>0</v>
      </c>
      <c r="AG35" s="462">
        <f t="shared" si="6"/>
        <v>0</v>
      </c>
      <c r="AH35" s="462">
        <f t="shared" si="6"/>
        <v>0</v>
      </c>
      <c r="AI35" s="462">
        <f t="shared" si="6"/>
        <v>0</v>
      </c>
      <c r="AJ35" s="462">
        <f t="shared" si="6"/>
        <v>0</v>
      </c>
      <c r="AK35" s="483"/>
      <c r="AL35" s="484" t="s">
        <v>549</v>
      </c>
      <c r="AM35" s="485">
        <f>+AD35</f>
        <v>0</v>
      </c>
    </row>
    <row r="36" spans="2:39" ht="18.75">
      <c r="B36" s="486" t="s">
        <v>550</v>
      </c>
      <c r="C36" s="469"/>
      <c r="D36" s="25"/>
      <c r="E36" s="25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L36" s="489" t="s">
        <v>551</v>
      </c>
      <c r="AM36" s="489">
        <f>+AE35</f>
        <v>0</v>
      </c>
    </row>
    <row r="37" spans="2:39" s="9" customFormat="1" ht="18.75" hidden="1">
      <c r="B37" s="468" t="str">
        <f>+'[17]retiros o dividendos ejercicio'!A8</f>
        <v>abril</v>
      </c>
      <c r="C37" s="487">
        <v>0</v>
      </c>
      <c r="D37" s="469"/>
      <c r="E37" s="469"/>
      <c r="F37" s="466">
        <f>+G37</f>
        <v>0</v>
      </c>
      <c r="G37" s="333">
        <f>-C37</f>
        <v>0</v>
      </c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>
        <f>+G37*AB10</f>
        <v>0</v>
      </c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455"/>
      <c r="AL37" s="485" t="s">
        <v>553</v>
      </c>
      <c r="AM37" s="485">
        <f>+AM35+AM36</f>
        <v>0</v>
      </c>
    </row>
    <row r="38" spans="2:39" ht="18.75" hidden="1">
      <c r="B38" s="468" t="str">
        <f>+'[17]retiros o dividendos ejercicio'!A10</f>
        <v>junio</v>
      </c>
      <c r="C38" s="487">
        <v>0</v>
      </c>
      <c r="D38" s="474"/>
      <c r="E38" s="474"/>
      <c r="F38" s="466">
        <f t="shared" ref="F38:F40" si="7">+G38</f>
        <v>0</v>
      </c>
      <c r="G38" s="333">
        <f t="shared" ref="G38:G39" si="8">-C38</f>
        <v>0</v>
      </c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>
        <f>+G38*AB10</f>
        <v>0</v>
      </c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L38" s="489" t="s">
        <v>505</v>
      </c>
      <c r="AM38" s="489">
        <f>+AJ35</f>
        <v>0</v>
      </c>
    </row>
    <row r="39" spans="2:39" ht="18.75" hidden="1">
      <c r="B39" s="468" t="s">
        <v>564</v>
      </c>
      <c r="C39" s="487">
        <v>0</v>
      </c>
      <c r="D39" s="474"/>
      <c r="E39" s="474"/>
      <c r="F39" s="466">
        <f t="shared" si="7"/>
        <v>0</v>
      </c>
      <c r="G39" s="333">
        <f t="shared" si="8"/>
        <v>0</v>
      </c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>
        <f>+G39*AB10</f>
        <v>0</v>
      </c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L39" s="489" t="s">
        <v>555</v>
      </c>
      <c r="AM39" s="495" t="e">
        <f>+AM37/AM38</f>
        <v>#DIV/0!</v>
      </c>
    </row>
    <row r="40" spans="2:39" ht="19.5" thickBot="1">
      <c r="B40" s="468" t="s">
        <v>569</v>
      </c>
      <c r="C40" s="487"/>
      <c r="D40" s="474"/>
      <c r="E40" s="474"/>
      <c r="F40" s="466">
        <f t="shared" si="7"/>
        <v>0</v>
      </c>
      <c r="G40" s="333"/>
      <c r="H40" s="333"/>
      <c r="I40" s="333">
        <f>-C40</f>
        <v>0</v>
      </c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>
        <f>+G40*AB10</f>
        <v>0</v>
      </c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L40" s="489"/>
      <c r="AM40" s="489"/>
    </row>
    <row r="41" spans="2:39" ht="19.5" hidden="1" thickBot="1">
      <c r="B41" s="468"/>
      <c r="C41" s="487"/>
      <c r="D41" s="474"/>
      <c r="E41" s="474"/>
      <c r="F41" s="466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L41" s="489"/>
      <c r="AM41" s="489"/>
    </row>
    <row r="42" spans="2:39" ht="19.5" hidden="1" thickBot="1">
      <c r="B42" s="468"/>
      <c r="C42" s="487"/>
      <c r="D42" s="474"/>
      <c r="E42" s="474"/>
      <c r="F42" s="466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L42" s="489"/>
      <c r="AM42" s="489"/>
    </row>
    <row r="43" spans="2:39" ht="19.5" hidden="1" thickBot="1">
      <c r="B43" s="468"/>
      <c r="C43" s="487"/>
      <c r="D43" s="474"/>
      <c r="E43" s="474"/>
      <c r="F43" s="466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L43" s="489"/>
      <c r="AM43" s="489"/>
    </row>
    <row r="44" spans="2:39" ht="19.5" hidden="1" thickBot="1">
      <c r="B44" s="468"/>
      <c r="C44" s="487"/>
      <c r="D44" s="474"/>
      <c r="E44" s="474"/>
      <c r="F44" s="466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L44" s="489"/>
      <c r="AM44" s="489"/>
    </row>
    <row r="45" spans="2:39" ht="19.5" hidden="1" thickBot="1">
      <c r="B45" s="468"/>
      <c r="C45" s="487"/>
      <c r="D45" s="474"/>
      <c r="E45" s="474"/>
      <c r="F45" s="466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L45" s="489"/>
      <c r="AM45" s="489"/>
    </row>
    <row r="46" spans="2:39" ht="19.5" hidden="1" thickBot="1">
      <c r="B46" s="468"/>
      <c r="C46" s="487"/>
      <c r="D46" s="474"/>
      <c r="E46" s="474"/>
      <c r="F46" s="466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L46" s="489"/>
      <c r="AM46" s="710" t="e">
        <f>+AM37/AM38</f>
        <v>#DIV/0!</v>
      </c>
    </row>
    <row r="47" spans="2:39" ht="19.5" hidden="1" thickBot="1">
      <c r="B47" s="468"/>
      <c r="C47" s="487"/>
      <c r="D47" s="474"/>
      <c r="E47" s="474"/>
      <c r="F47" s="466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L47" s="489"/>
      <c r="AM47" s="710"/>
    </row>
    <row r="48" spans="2:39" ht="19.5" hidden="1" thickBot="1">
      <c r="B48" s="468"/>
      <c r="C48" s="487"/>
      <c r="D48" s="474"/>
      <c r="E48" s="474"/>
      <c r="F48" s="466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L48" s="489"/>
      <c r="AM48" s="710"/>
    </row>
    <row r="49" spans="2:39" ht="19.5" hidden="1" thickBot="1">
      <c r="B49" s="468"/>
      <c r="C49" s="487"/>
      <c r="D49" s="474"/>
      <c r="E49" s="474"/>
      <c r="F49" s="466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L49" s="489"/>
      <c r="AM49" s="489"/>
    </row>
    <row r="50" spans="2:39" ht="19.5" hidden="1" thickBot="1">
      <c r="B50" s="468"/>
      <c r="C50" s="487"/>
      <c r="D50" s="474"/>
      <c r="E50" s="474"/>
      <c r="F50" s="466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L50" s="489"/>
      <c r="AM50" s="489"/>
    </row>
    <row r="51" spans="2:39" ht="19.5" hidden="1" thickBot="1">
      <c r="B51" s="468"/>
      <c r="C51" s="487"/>
      <c r="D51" s="474"/>
      <c r="E51" s="474"/>
      <c r="F51" s="466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L51" s="489"/>
      <c r="AM51" s="489"/>
    </row>
    <row r="52" spans="2:39" ht="19.5" hidden="1" thickBot="1">
      <c r="B52" s="468"/>
      <c r="C52" s="487"/>
      <c r="D52" s="474"/>
      <c r="E52" s="474"/>
      <c r="F52" s="466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L52" s="489"/>
      <c r="AM52" s="489"/>
    </row>
    <row r="53" spans="2:39" ht="19.5" hidden="1" thickBot="1">
      <c r="B53" s="468"/>
      <c r="C53" s="487"/>
      <c r="D53" s="474"/>
      <c r="E53" s="474"/>
      <c r="F53" s="466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L53" s="489"/>
      <c r="AM53" s="489"/>
    </row>
    <row r="54" spans="2:39" ht="19.5" hidden="1" thickBot="1">
      <c r="B54" s="468"/>
      <c r="C54" s="487"/>
      <c r="D54" s="474"/>
      <c r="E54" s="474"/>
      <c r="F54" s="466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L54" s="489"/>
      <c r="AM54" s="489"/>
    </row>
    <row r="55" spans="2:39" ht="19.5" hidden="1" thickBot="1">
      <c r="B55" s="468"/>
      <c r="C55" s="487"/>
      <c r="D55" s="474"/>
      <c r="E55" s="474"/>
      <c r="F55" s="466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L55" s="489"/>
      <c r="AM55" s="489"/>
    </row>
    <row r="56" spans="2:39" ht="19.5" hidden="1" thickBot="1">
      <c r="B56" s="468"/>
      <c r="C56" s="487"/>
      <c r="D56" s="474"/>
      <c r="E56" s="474"/>
      <c r="F56" s="466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L56" s="489"/>
      <c r="AM56" s="489"/>
    </row>
    <row r="57" spans="2:39" ht="19.5" hidden="1" thickBot="1">
      <c r="B57" s="468"/>
      <c r="C57" s="487"/>
      <c r="D57" s="474"/>
      <c r="E57" s="474"/>
      <c r="F57" s="466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L57" s="489"/>
      <c r="AM57" s="489"/>
    </row>
    <row r="58" spans="2:39" ht="19.5" hidden="1" thickBot="1">
      <c r="B58" s="468"/>
      <c r="C58" s="487"/>
      <c r="D58" s="493"/>
      <c r="E58" s="493"/>
      <c r="F58" s="466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3"/>
      <c r="AH58" s="333"/>
      <c r="AI58" s="333"/>
      <c r="AJ58" s="333"/>
      <c r="AL58" s="489"/>
      <c r="AM58" s="489"/>
    </row>
    <row r="59" spans="2:39" ht="19.5" hidden="1" thickBot="1">
      <c r="B59" s="468"/>
      <c r="C59" s="487"/>
      <c r="D59" s="493"/>
      <c r="E59" s="493"/>
      <c r="F59" s="466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L59" s="489"/>
      <c r="AM59" s="489"/>
    </row>
    <row r="60" spans="2:39" ht="19.5" hidden="1" thickBot="1">
      <c r="B60" s="468"/>
      <c r="C60" s="487"/>
      <c r="D60" s="493"/>
      <c r="E60" s="493"/>
      <c r="F60" s="466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L60" s="489"/>
      <c r="AM60" s="489"/>
    </row>
    <row r="61" spans="2:39" ht="19.5" hidden="1" thickBot="1">
      <c r="B61" s="468"/>
      <c r="C61" s="487"/>
      <c r="D61" s="493"/>
      <c r="E61" s="493"/>
      <c r="F61" s="466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L61" s="489"/>
      <c r="AM61" s="489">
        <f>+AM35+AM36</f>
        <v>0</v>
      </c>
    </row>
    <row r="62" spans="2:39" ht="19.5" hidden="1" thickBot="1">
      <c r="B62" s="468"/>
      <c r="C62" s="487"/>
      <c r="D62" s="493"/>
      <c r="E62" s="493"/>
      <c r="F62" s="466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L62" s="489"/>
      <c r="AM62" s="489"/>
    </row>
    <row r="63" spans="2:39" ht="19.5" hidden="1" thickBot="1">
      <c r="B63" s="468"/>
      <c r="C63" s="487"/>
      <c r="D63" s="493"/>
      <c r="E63" s="493"/>
      <c r="F63" s="466"/>
      <c r="G63" s="333"/>
      <c r="H63" s="333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L63" s="489"/>
      <c r="AM63" s="489"/>
    </row>
    <row r="64" spans="2:39" ht="19.5" hidden="1" thickBot="1">
      <c r="B64" s="468"/>
      <c r="C64" s="487"/>
      <c r="D64" s="493"/>
      <c r="E64" s="493"/>
      <c r="F64" s="466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L64" s="489"/>
      <c r="AM64" s="489"/>
    </row>
    <row r="65" spans="2:39" ht="19.5" hidden="1" thickBot="1">
      <c r="B65" s="468"/>
      <c r="C65" s="487"/>
      <c r="D65" s="493"/>
      <c r="E65" s="493"/>
      <c r="F65" s="466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L65" s="489"/>
      <c r="AM65" s="489"/>
    </row>
    <row r="66" spans="2:39" ht="19.5" hidden="1" thickBot="1">
      <c r="B66" s="468"/>
      <c r="C66" s="487"/>
      <c r="D66" s="493"/>
      <c r="E66" s="493"/>
      <c r="F66" s="466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L66" s="489"/>
      <c r="AM66" s="489"/>
    </row>
    <row r="67" spans="2:39" ht="19.5" hidden="1" thickBot="1">
      <c r="B67" s="468"/>
      <c r="C67" s="487"/>
      <c r="D67" s="493"/>
      <c r="E67" s="493"/>
      <c r="F67" s="466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L67" s="489"/>
      <c r="AM67" s="489"/>
    </row>
    <row r="68" spans="2:39" ht="19.5" hidden="1" thickBot="1">
      <c r="B68" s="468"/>
      <c r="C68" s="487"/>
      <c r="D68" s="493"/>
      <c r="E68" s="493"/>
      <c r="F68" s="466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L68" s="489"/>
      <c r="AM68" s="489"/>
    </row>
    <row r="69" spans="2:39" ht="19.5" hidden="1" thickBot="1">
      <c r="B69" s="468"/>
      <c r="C69" s="487"/>
      <c r="D69" s="493"/>
      <c r="E69" s="493"/>
      <c r="F69" s="466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L69" s="489"/>
      <c r="AM69" s="489"/>
    </row>
    <row r="70" spans="2:39" ht="19.5" hidden="1" thickBot="1">
      <c r="B70" s="468"/>
      <c r="C70" s="487"/>
      <c r="D70" s="493"/>
      <c r="E70" s="493"/>
      <c r="F70" s="466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L70" s="489"/>
      <c r="AM70" s="489"/>
    </row>
    <row r="71" spans="2:39" ht="19.5" hidden="1" thickBot="1">
      <c r="B71" s="468"/>
      <c r="C71" s="487"/>
      <c r="D71" s="493"/>
      <c r="E71" s="493"/>
      <c r="F71" s="466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333"/>
      <c r="AL71" s="489"/>
      <c r="AM71" s="489"/>
    </row>
    <row r="72" spans="2:39" ht="19.5" hidden="1" thickBot="1">
      <c r="B72" s="468"/>
      <c r="C72" s="487"/>
      <c r="D72" s="493"/>
      <c r="E72" s="493"/>
      <c r="F72" s="466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L72" s="489"/>
      <c r="AM72" s="489"/>
    </row>
    <row r="73" spans="2:39" ht="19.5" hidden="1" thickBot="1">
      <c r="B73" s="468"/>
      <c r="C73" s="487"/>
      <c r="D73" s="493"/>
      <c r="E73" s="493"/>
      <c r="F73" s="466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L73" s="489"/>
      <c r="AM73" s="489"/>
    </row>
    <row r="74" spans="2:39" ht="19.5" hidden="1" thickBot="1">
      <c r="B74" s="468"/>
      <c r="C74" s="487"/>
      <c r="D74" s="493"/>
      <c r="E74" s="493"/>
      <c r="F74" s="466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  <c r="AJ74" s="333"/>
      <c r="AL74" s="489"/>
      <c r="AM74" s="489"/>
    </row>
    <row r="75" spans="2:39" ht="19.5" hidden="1" thickBot="1">
      <c r="B75" s="468"/>
      <c r="C75" s="487"/>
      <c r="D75" s="493"/>
      <c r="E75" s="493"/>
      <c r="F75" s="466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L75" s="489"/>
      <c r="AM75" s="489"/>
    </row>
    <row r="76" spans="2:39" ht="19.5" hidden="1" thickBot="1">
      <c r="B76" s="468"/>
      <c r="C76" s="487"/>
      <c r="D76" s="493"/>
      <c r="E76" s="493"/>
      <c r="F76" s="466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L76" s="489"/>
      <c r="AM76" s="489"/>
    </row>
    <row r="77" spans="2:39" ht="19.5" hidden="1" thickBot="1">
      <c r="B77" s="468"/>
      <c r="C77" s="487"/>
      <c r="D77" s="493"/>
      <c r="E77" s="493"/>
      <c r="F77" s="466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L77" s="489" t="s">
        <v>505</v>
      </c>
      <c r="AM77" s="489">
        <f>+AJ35</f>
        <v>0</v>
      </c>
    </row>
    <row r="78" spans="2:39" ht="19.5" hidden="1" thickBot="1">
      <c r="B78" s="468"/>
      <c r="C78" s="487"/>
      <c r="D78" s="493"/>
      <c r="E78" s="493"/>
      <c r="F78" s="466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L78" s="5"/>
      <c r="AM78" s="5"/>
    </row>
    <row r="79" spans="2:39" ht="19.5" hidden="1" thickBot="1">
      <c r="B79" s="468"/>
      <c r="C79" s="487"/>
      <c r="D79" s="493"/>
      <c r="E79" s="493"/>
      <c r="F79" s="466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L79" s="5"/>
      <c r="AM79" s="5"/>
    </row>
    <row r="80" spans="2:39" ht="19.5" hidden="1" thickBot="1">
      <c r="B80" s="468"/>
      <c r="C80" s="487"/>
      <c r="D80" s="493"/>
      <c r="E80" s="493"/>
      <c r="F80" s="466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  <c r="AJ80" s="333"/>
      <c r="AL80" s="5"/>
      <c r="AM80" s="5"/>
    </row>
    <row r="81" spans="2:39" ht="19.5" hidden="1" thickBot="1">
      <c r="B81" s="468"/>
      <c r="C81" s="487"/>
      <c r="D81" s="493"/>
      <c r="E81" s="493"/>
      <c r="F81" s="466"/>
      <c r="G81" s="333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333"/>
      <c r="AA81" s="487"/>
      <c r="AB81" s="487"/>
      <c r="AC81" s="487"/>
      <c r="AD81" s="487"/>
      <c r="AE81" s="487"/>
      <c r="AF81" s="487"/>
      <c r="AG81" s="487"/>
      <c r="AH81" s="487"/>
      <c r="AI81" s="487"/>
      <c r="AJ81" s="487"/>
      <c r="AL81" s="5"/>
      <c r="AM81" s="5"/>
    </row>
    <row r="82" spans="2:39" ht="19.5" thickBot="1">
      <c r="B82" s="498" t="s">
        <v>570</v>
      </c>
      <c r="C82" s="462">
        <f>SUM(C37:C81)</f>
        <v>0</v>
      </c>
      <c r="D82" s="462"/>
      <c r="E82" s="462"/>
      <c r="F82" s="462">
        <f>SUM(F37:F81)</f>
        <v>0</v>
      </c>
      <c r="G82" s="462">
        <f>SUM(G37:G81)</f>
        <v>0</v>
      </c>
      <c r="H82" s="462">
        <f>SUM(H37:H81)</f>
        <v>0</v>
      </c>
      <c r="I82" s="462">
        <f>SUM(I37:I81)</f>
        <v>0</v>
      </c>
      <c r="J82" s="462">
        <f>SUM(J37:J81)</f>
        <v>0</v>
      </c>
      <c r="K82" s="462"/>
      <c r="L82" s="462">
        <f t="shared" ref="L82:T82" si="9">SUM(L37:L81)</f>
        <v>0</v>
      </c>
      <c r="M82" s="462">
        <f t="shared" si="9"/>
        <v>0</v>
      </c>
      <c r="N82" s="462">
        <f t="shared" si="9"/>
        <v>0</v>
      </c>
      <c r="O82" s="462">
        <f t="shared" si="9"/>
        <v>0</v>
      </c>
      <c r="P82" s="462">
        <f t="shared" si="9"/>
        <v>0</v>
      </c>
      <c r="Q82" s="462">
        <f t="shared" si="9"/>
        <v>0</v>
      </c>
      <c r="R82" s="462">
        <f t="shared" si="9"/>
        <v>0</v>
      </c>
      <c r="S82" s="462">
        <f t="shared" si="9"/>
        <v>0</v>
      </c>
      <c r="T82" s="462">
        <f t="shared" si="9"/>
        <v>0</v>
      </c>
      <c r="U82" s="462"/>
      <c r="V82" s="462">
        <f>SUM(V37:V81)</f>
        <v>0</v>
      </c>
      <c r="W82" s="462"/>
      <c r="X82" s="462"/>
      <c r="Y82" s="462">
        <f>SUM(Y37:Y81)</f>
        <v>0</v>
      </c>
      <c r="Z82" s="462">
        <f>SUM(Z37:Z81)</f>
        <v>0</v>
      </c>
      <c r="AA82" s="462"/>
      <c r="AB82" s="462"/>
      <c r="AC82" s="462">
        <f>SUM(AC37:AC81)</f>
        <v>0</v>
      </c>
      <c r="AD82" s="462">
        <f>SUM(AD37:AD81)</f>
        <v>0</v>
      </c>
      <c r="AE82" s="462">
        <f>SUM(AE37:AE81)</f>
        <v>0</v>
      </c>
      <c r="AF82" s="462"/>
      <c r="AG82" s="462"/>
      <c r="AH82" s="462">
        <f>SUM(AH37:AH81)</f>
        <v>0</v>
      </c>
      <c r="AI82" s="711"/>
      <c r="AJ82" s="500">
        <f>SUM(AJ37:AJ81)</f>
        <v>0</v>
      </c>
      <c r="AL82" s="5"/>
      <c r="AM82" s="5"/>
    </row>
    <row r="83" spans="2:39" ht="19.5" thickBot="1">
      <c r="B83" s="486" t="s">
        <v>784</v>
      </c>
      <c r="C83" s="25"/>
      <c r="D83" s="487"/>
      <c r="E83" s="493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  <c r="AA83" s="487"/>
      <c r="AB83" s="487"/>
      <c r="AC83" s="487"/>
      <c r="AD83" s="487"/>
      <c r="AE83" s="487"/>
      <c r="AF83" s="487"/>
      <c r="AG83" s="487"/>
      <c r="AH83" s="487"/>
      <c r="AI83" s="487"/>
      <c r="AJ83" s="487"/>
      <c r="AL83" s="5"/>
      <c r="AM83" s="5"/>
    </row>
    <row r="84" spans="2:39" s="9" customFormat="1" ht="19.5" hidden="1" thickBot="1">
      <c r="B84" s="502" t="s">
        <v>572</v>
      </c>
      <c r="C84" s="487"/>
      <c r="D84" s="487"/>
      <c r="E84" s="474"/>
      <c r="F84" s="487"/>
      <c r="G84" s="487"/>
      <c r="H84" s="493"/>
      <c r="I84" s="493"/>
      <c r="J84" s="493"/>
      <c r="K84" s="493"/>
      <c r="L84" s="493"/>
      <c r="M84" s="493"/>
      <c r="N84" s="493"/>
      <c r="O84" s="493"/>
      <c r="P84" s="493"/>
      <c r="Q84" s="493"/>
      <c r="R84" s="493"/>
      <c r="S84" s="493"/>
      <c r="T84" s="493"/>
      <c r="U84" s="493"/>
      <c r="V84" s="493"/>
      <c r="W84" s="493"/>
      <c r="X84" s="493"/>
      <c r="Y84" s="493"/>
      <c r="Z84" s="493"/>
      <c r="AA84" s="493"/>
      <c r="AB84" s="493"/>
      <c r="AC84" s="487"/>
      <c r="AD84" s="493"/>
      <c r="AE84" s="493"/>
      <c r="AF84" s="493"/>
      <c r="AG84" s="493"/>
      <c r="AH84" s="493"/>
      <c r="AI84" s="493"/>
      <c r="AJ84" s="493"/>
      <c r="AK84" s="415"/>
      <c r="AL84" s="503"/>
      <c r="AM84" s="464"/>
    </row>
    <row r="85" spans="2:39" s="9" customFormat="1" ht="19.5" hidden="1" thickBot="1">
      <c r="B85" s="502" t="s">
        <v>573</v>
      </c>
      <c r="C85" s="487"/>
      <c r="D85" s="487"/>
      <c r="E85" s="474"/>
      <c r="F85" s="487"/>
      <c r="G85" s="487"/>
      <c r="H85" s="493"/>
      <c r="I85" s="493"/>
      <c r="J85" s="493"/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3"/>
      <c r="X85" s="493"/>
      <c r="Y85" s="493"/>
      <c r="Z85" s="493"/>
      <c r="AA85" s="493"/>
      <c r="AB85" s="493"/>
      <c r="AC85" s="487"/>
      <c r="AD85" s="493"/>
      <c r="AE85" s="493"/>
      <c r="AF85" s="493"/>
      <c r="AG85" s="493"/>
      <c r="AH85" s="493"/>
      <c r="AI85" s="493"/>
      <c r="AJ85" s="493"/>
      <c r="AK85" s="415"/>
      <c r="AL85" s="503"/>
      <c r="AM85" s="464"/>
    </row>
    <row r="86" spans="2:39" s="9" customFormat="1" ht="19.5" hidden="1" thickBot="1">
      <c r="B86" s="502" t="s">
        <v>574</v>
      </c>
      <c r="C86" s="493"/>
      <c r="D86" s="487"/>
      <c r="E86" s="474"/>
      <c r="F86" s="487"/>
      <c r="G86" s="487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87"/>
      <c r="AD86" s="493"/>
      <c r="AE86" s="493"/>
      <c r="AF86" s="493"/>
      <c r="AG86" s="493"/>
      <c r="AH86" s="493"/>
      <c r="AI86" s="493"/>
      <c r="AJ86" s="493"/>
      <c r="AK86" s="415"/>
      <c r="AL86" s="503"/>
      <c r="AM86" s="464"/>
    </row>
    <row r="87" spans="2:39" s="9" customFormat="1" ht="19.5" hidden="1" thickBot="1">
      <c r="B87" s="502" t="s">
        <v>575</v>
      </c>
      <c r="C87" s="493"/>
      <c r="D87" s="487"/>
      <c r="E87" s="474"/>
      <c r="F87" s="487"/>
      <c r="G87" s="487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3"/>
      <c r="U87" s="493"/>
      <c r="V87" s="493"/>
      <c r="W87" s="493"/>
      <c r="X87" s="493"/>
      <c r="Y87" s="493"/>
      <c r="Z87" s="493"/>
      <c r="AA87" s="493"/>
      <c r="AB87" s="493"/>
      <c r="AC87" s="487"/>
      <c r="AD87" s="493"/>
      <c r="AE87" s="493"/>
      <c r="AF87" s="493"/>
      <c r="AG87" s="493"/>
      <c r="AH87" s="493"/>
      <c r="AI87" s="493"/>
      <c r="AJ87" s="493"/>
      <c r="AK87" s="415"/>
      <c r="AL87" s="503"/>
      <c r="AM87" s="464"/>
    </row>
    <row r="88" spans="2:39" s="9" customFormat="1" ht="19.5" hidden="1" thickBot="1">
      <c r="B88" s="502" t="s">
        <v>576</v>
      </c>
      <c r="C88" s="493"/>
      <c r="D88" s="487"/>
      <c r="E88" s="474"/>
      <c r="F88" s="487"/>
      <c r="G88" s="487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3"/>
      <c r="U88" s="493"/>
      <c r="V88" s="493"/>
      <c r="W88" s="493"/>
      <c r="X88" s="493"/>
      <c r="Y88" s="493"/>
      <c r="Z88" s="493"/>
      <c r="AA88" s="493"/>
      <c r="AB88" s="493"/>
      <c r="AC88" s="487"/>
      <c r="AD88" s="493"/>
      <c r="AE88" s="493"/>
      <c r="AF88" s="493"/>
      <c r="AG88" s="493"/>
      <c r="AH88" s="493"/>
      <c r="AI88" s="493"/>
      <c r="AJ88" s="493"/>
      <c r="AK88" s="415"/>
      <c r="AL88" s="503"/>
      <c r="AM88" s="464"/>
    </row>
    <row r="89" spans="2:39" s="9" customFormat="1" ht="19.5" hidden="1" thickBot="1">
      <c r="B89" s="504" t="s">
        <v>577</v>
      </c>
      <c r="C89" s="497"/>
      <c r="D89" s="487"/>
      <c r="E89" s="474"/>
      <c r="F89" s="487"/>
      <c r="G89" s="487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3"/>
      <c r="U89" s="493"/>
      <c r="V89" s="493"/>
      <c r="W89" s="493"/>
      <c r="X89" s="493"/>
      <c r="Y89" s="493"/>
      <c r="Z89" s="493"/>
      <c r="AA89" s="493"/>
      <c r="AB89" s="493"/>
      <c r="AC89" s="487"/>
      <c r="AD89" s="493"/>
      <c r="AE89" s="493"/>
      <c r="AF89" s="493"/>
      <c r="AG89" s="493"/>
      <c r="AH89" s="493"/>
      <c r="AI89" s="493"/>
      <c r="AJ89" s="493"/>
      <c r="AK89" s="415"/>
      <c r="AL89" s="503"/>
      <c r="AM89" s="464"/>
    </row>
    <row r="90" spans="2:39" s="9" customFormat="1" ht="19.5" thickBot="1">
      <c r="B90" s="498" t="s">
        <v>785</v>
      </c>
      <c r="C90" s="506">
        <f>SUM(C84:C89)</f>
        <v>0</v>
      </c>
      <c r="D90" s="506"/>
      <c r="E90" s="506"/>
      <c r="F90" s="506">
        <f>SUM(F84:F89)</f>
        <v>0</v>
      </c>
      <c r="G90" s="506">
        <f t="shared" ref="G90:AJ90" si="10">SUM(G84:G89)</f>
        <v>0</v>
      </c>
      <c r="H90" s="506">
        <f t="shared" si="10"/>
        <v>0</v>
      </c>
      <c r="I90" s="506">
        <f t="shared" si="10"/>
        <v>0</v>
      </c>
      <c r="J90" s="506">
        <f t="shared" si="10"/>
        <v>0</v>
      </c>
      <c r="K90" s="506">
        <f t="shared" si="10"/>
        <v>0</v>
      </c>
      <c r="L90" s="506">
        <f t="shared" si="10"/>
        <v>0</v>
      </c>
      <c r="M90" s="506">
        <f t="shared" si="10"/>
        <v>0</v>
      </c>
      <c r="N90" s="506">
        <f t="shared" si="10"/>
        <v>0</v>
      </c>
      <c r="O90" s="506">
        <f t="shared" si="10"/>
        <v>0</v>
      </c>
      <c r="P90" s="506">
        <f t="shared" si="10"/>
        <v>0</v>
      </c>
      <c r="Q90" s="506">
        <f t="shared" si="10"/>
        <v>0</v>
      </c>
      <c r="R90" s="506">
        <f t="shared" si="10"/>
        <v>0</v>
      </c>
      <c r="S90" s="506">
        <f t="shared" si="10"/>
        <v>0</v>
      </c>
      <c r="T90" s="506">
        <f t="shared" si="10"/>
        <v>0</v>
      </c>
      <c r="U90" s="506">
        <f t="shared" si="10"/>
        <v>0</v>
      </c>
      <c r="V90" s="506">
        <f t="shared" si="10"/>
        <v>0</v>
      </c>
      <c r="W90" s="506">
        <f t="shared" si="10"/>
        <v>0</v>
      </c>
      <c r="X90" s="506">
        <f t="shared" si="10"/>
        <v>0</v>
      </c>
      <c r="Y90" s="506">
        <f t="shared" si="10"/>
        <v>0</v>
      </c>
      <c r="Z90" s="506">
        <f t="shared" si="10"/>
        <v>0</v>
      </c>
      <c r="AA90" s="506">
        <f t="shared" si="10"/>
        <v>0</v>
      </c>
      <c r="AB90" s="506">
        <f t="shared" si="10"/>
        <v>0</v>
      </c>
      <c r="AC90" s="506">
        <f t="shared" si="10"/>
        <v>0</v>
      </c>
      <c r="AD90" s="506">
        <f t="shared" si="10"/>
        <v>0</v>
      </c>
      <c r="AE90" s="506">
        <f t="shared" si="10"/>
        <v>0</v>
      </c>
      <c r="AF90" s="506">
        <f t="shared" si="10"/>
        <v>0</v>
      </c>
      <c r="AG90" s="506">
        <f t="shared" si="10"/>
        <v>0</v>
      </c>
      <c r="AH90" s="506">
        <f t="shared" si="10"/>
        <v>0</v>
      </c>
      <c r="AI90" s="506">
        <f t="shared" si="10"/>
        <v>0</v>
      </c>
      <c r="AJ90" s="506">
        <f t="shared" si="10"/>
        <v>0</v>
      </c>
      <c r="AK90" s="415"/>
      <c r="AL90" s="503"/>
      <c r="AM90" s="464"/>
    </row>
    <row r="91" spans="2:39" s="9" customFormat="1" ht="18.75">
      <c r="B91" s="508" t="s">
        <v>579</v>
      </c>
      <c r="C91" s="509"/>
      <c r="D91" s="487"/>
      <c r="E91" s="474"/>
      <c r="F91" s="487"/>
      <c r="G91" s="487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493"/>
      <c r="V91" s="493"/>
      <c r="W91" s="493"/>
      <c r="X91" s="493"/>
      <c r="Y91" s="493"/>
      <c r="Z91" s="333"/>
      <c r="AA91" s="333"/>
      <c r="AB91" s="333"/>
      <c r="AC91" s="487"/>
      <c r="AD91" s="493"/>
      <c r="AE91" s="493"/>
      <c r="AF91" s="493"/>
      <c r="AG91" s="493"/>
      <c r="AH91" s="493"/>
      <c r="AI91" s="493"/>
      <c r="AJ91" s="493"/>
      <c r="AK91" s="415"/>
      <c r="AL91" s="503"/>
      <c r="AM91" s="464"/>
    </row>
    <row r="92" spans="2:39" s="9" customFormat="1" ht="18.75">
      <c r="B92" s="502" t="s">
        <v>580</v>
      </c>
      <c r="C92" s="487"/>
      <c r="D92" s="487"/>
      <c r="E92" s="474"/>
      <c r="F92" s="487"/>
      <c r="G92" s="487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493"/>
      <c r="V92" s="493"/>
      <c r="W92" s="493"/>
      <c r="X92" s="493"/>
      <c r="Y92" s="493"/>
      <c r="Z92" s="333">
        <f>-C92*Z13</f>
        <v>0</v>
      </c>
      <c r="AA92" s="333"/>
      <c r="AB92" s="333"/>
      <c r="AC92" s="487"/>
      <c r="AD92" s="493"/>
      <c r="AE92" s="493"/>
      <c r="AF92" s="493"/>
      <c r="AG92" s="493"/>
      <c r="AH92" s="493"/>
      <c r="AI92" s="493"/>
      <c r="AJ92" s="493"/>
      <c r="AK92" s="415"/>
      <c r="AL92" s="503"/>
      <c r="AM92" s="464"/>
    </row>
    <row r="93" spans="2:39" ht="19.5" thickBot="1">
      <c r="B93" s="504" t="s">
        <v>581</v>
      </c>
      <c r="C93" s="487">
        <f>+'[17]RLI  final'!D16</f>
        <v>0</v>
      </c>
      <c r="D93" s="457"/>
      <c r="E93" s="457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333">
        <f>-C93*AB10</f>
        <v>0</v>
      </c>
      <c r="AA93" s="340"/>
      <c r="AB93" s="340"/>
      <c r="AC93" s="496"/>
      <c r="AD93" s="496"/>
      <c r="AE93" s="496"/>
      <c r="AF93" s="496"/>
      <c r="AG93" s="496"/>
      <c r="AH93" s="496"/>
      <c r="AI93" s="496"/>
      <c r="AJ93" s="496"/>
      <c r="AL93" s="5"/>
      <c r="AM93" s="5"/>
    </row>
    <row r="94" spans="2:39" s="9" customFormat="1" ht="19.5" thickBot="1">
      <c r="B94" s="498" t="s">
        <v>786</v>
      </c>
      <c r="C94" s="512"/>
      <c r="D94" s="512"/>
      <c r="E94" s="512"/>
      <c r="F94" s="462">
        <f t="shared" ref="F94:Y94" si="11">+F35+F82+F90</f>
        <v>0</v>
      </c>
      <c r="G94" s="462">
        <f t="shared" si="11"/>
        <v>0</v>
      </c>
      <c r="H94" s="462">
        <f t="shared" si="11"/>
        <v>0</v>
      </c>
      <c r="I94" s="462">
        <f t="shared" si="11"/>
        <v>0</v>
      </c>
      <c r="J94" s="462">
        <f t="shared" si="11"/>
        <v>0</v>
      </c>
      <c r="K94" s="462">
        <f t="shared" si="11"/>
        <v>0</v>
      </c>
      <c r="L94" s="462">
        <f t="shared" si="11"/>
        <v>0</v>
      </c>
      <c r="M94" s="462">
        <f t="shared" si="11"/>
        <v>0</v>
      </c>
      <c r="N94" s="462">
        <f t="shared" si="11"/>
        <v>0</v>
      </c>
      <c r="O94" s="462">
        <f t="shared" si="11"/>
        <v>0</v>
      </c>
      <c r="P94" s="462">
        <f t="shared" si="11"/>
        <v>0</v>
      </c>
      <c r="Q94" s="462">
        <f t="shared" si="11"/>
        <v>0</v>
      </c>
      <c r="R94" s="462">
        <f t="shared" si="11"/>
        <v>0</v>
      </c>
      <c r="S94" s="462">
        <f t="shared" si="11"/>
        <v>0</v>
      </c>
      <c r="T94" s="462">
        <f t="shared" si="11"/>
        <v>0</v>
      </c>
      <c r="U94" s="462">
        <f t="shared" si="11"/>
        <v>0</v>
      </c>
      <c r="V94" s="462">
        <f t="shared" si="11"/>
        <v>0</v>
      </c>
      <c r="W94" s="462">
        <f t="shared" si="11"/>
        <v>0</v>
      </c>
      <c r="X94" s="462">
        <f t="shared" si="11"/>
        <v>4370187.0368067231</v>
      </c>
      <c r="Y94" s="462">
        <f t="shared" si="11"/>
        <v>0</v>
      </c>
      <c r="Z94" s="462">
        <f>+Z35+Z82+Z90+Z92+Z93</f>
        <v>0</v>
      </c>
      <c r="AA94" s="462">
        <f t="shared" ref="AA94:AJ94" si="12">+AA35+AA82+AA90</f>
        <v>0</v>
      </c>
      <c r="AB94" s="462">
        <f t="shared" si="12"/>
        <v>0</v>
      </c>
      <c r="AC94" s="462">
        <f t="shared" si="12"/>
        <v>0</v>
      </c>
      <c r="AD94" s="462">
        <f t="shared" si="12"/>
        <v>0</v>
      </c>
      <c r="AE94" s="462">
        <f t="shared" si="12"/>
        <v>0</v>
      </c>
      <c r="AF94" s="462">
        <f t="shared" si="12"/>
        <v>0</v>
      </c>
      <c r="AG94" s="462">
        <f t="shared" si="12"/>
        <v>0</v>
      </c>
      <c r="AH94" s="462">
        <f t="shared" si="12"/>
        <v>0</v>
      </c>
      <c r="AI94" s="462">
        <f t="shared" si="12"/>
        <v>0</v>
      </c>
      <c r="AJ94" s="462">
        <f t="shared" si="12"/>
        <v>0</v>
      </c>
      <c r="AK94" s="415"/>
      <c r="AL94" s="464">
        <f>SUM(AL20:AL84)</f>
        <v>0</v>
      </c>
      <c r="AM94" s="464"/>
    </row>
    <row r="95" spans="2:39" ht="18.75">
      <c r="B95" s="14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L95" s="5"/>
      <c r="AM95" s="5"/>
    </row>
    <row r="96" spans="2:39" ht="18.75" hidden="1">
      <c r="B96" s="486" t="s">
        <v>787</v>
      </c>
      <c r="C96" s="25"/>
      <c r="Z96" s="5"/>
    </row>
    <row r="97" spans="2:26" ht="18.75" hidden="1">
      <c r="B97" s="502" t="s">
        <v>572</v>
      </c>
      <c r="C97" s="487">
        <f>+C61+G61+I61+S61+G62</f>
        <v>0</v>
      </c>
    </row>
    <row r="98" spans="2:26" ht="18.75" hidden="1">
      <c r="B98" s="502" t="s">
        <v>573</v>
      </c>
      <c r="C98" s="487">
        <f>+C77</f>
        <v>0</v>
      </c>
    </row>
    <row r="99" spans="2:26" ht="18.75" hidden="1">
      <c r="B99" s="502" t="s">
        <v>574</v>
      </c>
      <c r="C99" s="493"/>
    </row>
    <row r="100" spans="2:26" ht="18.75" hidden="1">
      <c r="B100" s="502" t="s">
        <v>575</v>
      </c>
      <c r="C100" s="493"/>
    </row>
    <row r="101" spans="2:26" ht="18.75" hidden="1">
      <c r="B101" s="502" t="s">
        <v>576</v>
      </c>
      <c r="C101" s="493"/>
    </row>
    <row r="102" spans="2:26" ht="18.75" hidden="1">
      <c r="B102" s="504" t="s">
        <v>577</v>
      </c>
      <c r="C102" s="497"/>
    </row>
    <row r="103" spans="2:26" hidden="1"/>
    <row r="104" spans="2:26" hidden="1"/>
    <row r="106" spans="2:26">
      <c r="Z106" s="5"/>
    </row>
  </sheetData>
  <mergeCells count="26">
    <mergeCell ref="AF11:AG11"/>
    <mergeCell ref="T8:AH8"/>
    <mergeCell ref="T9:AC9"/>
    <mergeCell ref="AD9:AH9"/>
    <mergeCell ref="AJ9:AJ15"/>
    <mergeCell ref="U11:V11"/>
    <mergeCell ref="W11:X11"/>
    <mergeCell ref="Y11:Z11"/>
    <mergeCell ref="AA11:AB11"/>
    <mergeCell ref="AD11:AE11"/>
    <mergeCell ref="U12:V12"/>
    <mergeCell ref="W12:X12"/>
    <mergeCell ref="Y12:Z12"/>
    <mergeCell ref="AD12:AE12"/>
    <mergeCell ref="AF12:AG12"/>
    <mergeCell ref="I11:S11"/>
    <mergeCell ref="B11:B15"/>
    <mergeCell ref="C11:E15"/>
    <mergeCell ref="F11:F15"/>
    <mergeCell ref="G11:G15"/>
    <mergeCell ref="H11:H15"/>
    <mergeCell ref="I13:P13"/>
    <mergeCell ref="Q13:R13"/>
    <mergeCell ref="S13:S15"/>
    <mergeCell ref="J14:L14"/>
    <mergeCell ref="M14:P14"/>
  </mergeCells>
  <printOptions gridLines="1"/>
  <pageMargins left="0.78740157480314965" right="0.70866141732283472" top="0.74803149606299213" bottom="0.74803149606299213" header="0.31496062992125984" footer="0.31496062992125984"/>
  <pageSetup scale="31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13" zoomScale="91" zoomScaleNormal="91" workbookViewId="0">
      <selection activeCell="C49" sqref="C49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2" width="14" bestFit="1" customWidth="1"/>
  </cols>
  <sheetData>
    <row r="1" spans="1:13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3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3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3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3">
      <c r="A5" s="65" t="s">
        <v>81</v>
      </c>
      <c r="B5" s="58" t="s">
        <v>86</v>
      </c>
      <c r="C5" s="52">
        <f>+'balance 2022 inicial los andes '!C5+'ajustes 2022'!E6</f>
        <v>7400000</v>
      </c>
      <c r="D5" s="52">
        <f>+'balance 2022 inicial los andes '!D5</f>
        <v>0</v>
      </c>
      <c r="E5" s="52">
        <f>+IF(C5-D5&gt;0,C5-D5,0)</f>
        <v>7400000</v>
      </c>
      <c r="F5" s="52">
        <f>IF((D5-C5)&gt;0,D5-C5,0)</f>
        <v>0</v>
      </c>
      <c r="G5" s="52">
        <f t="shared" ref="G5:H20" si="0">IF(E5&gt;0,E5,0)</f>
        <v>7400000</v>
      </c>
      <c r="H5" s="52">
        <f t="shared" si="0"/>
        <v>0</v>
      </c>
      <c r="I5" s="52">
        <v>0</v>
      </c>
      <c r="J5" s="52">
        <v>0</v>
      </c>
    </row>
    <row r="6" spans="1:13">
      <c r="A6" s="65" t="s">
        <v>48</v>
      </c>
      <c r="B6" s="58" t="s">
        <v>49</v>
      </c>
      <c r="C6" s="52">
        <f>+'balance 2022 inicial los andes '!C6</f>
        <v>1100000000</v>
      </c>
      <c r="D6" s="52">
        <f>+'balance 2022 inicial los andes '!D6+'ajustes 2022'!F21+7400000</f>
        <v>1047555200</v>
      </c>
      <c r="E6" s="52">
        <f>+IF(C6-D6&gt;0,C6-D6,0)</f>
        <v>52444800</v>
      </c>
      <c r="F6" s="52">
        <f>IF((D6-C6)&gt;0,D6-C6,0)</f>
        <v>0</v>
      </c>
      <c r="G6" s="52">
        <f t="shared" si="0"/>
        <v>52444800</v>
      </c>
      <c r="H6" s="52">
        <f t="shared" si="0"/>
        <v>0</v>
      </c>
      <c r="I6" s="52">
        <v>0</v>
      </c>
      <c r="J6" s="52">
        <v>0</v>
      </c>
    </row>
    <row r="7" spans="1:13">
      <c r="A7" s="65">
        <v>11011</v>
      </c>
      <c r="B7" s="58" t="s">
        <v>51</v>
      </c>
      <c r="C7" s="52">
        <f>+'balance 2022 inicial los andes '!C7</f>
        <v>50000000</v>
      </c>
      <c r="D7" s="52">
        <f>+'balance 2022 inicial los andes '!D7</f>
        <v>0</v>
      </c>
      <c r="E7" s="52">
        <f t="shared" ref="E7:E45" si="1">+IF(C7-D7&gt;0,C7-D7,0)</f>
        <v>50000000</v>
      </c>
      <c r="F7" s="52">
        <f t="shared" ref="F7:F45" si="2">IF((D7-C7)&gt;0,D7-C7,0)</f>
        <v>0</v>
      </c>
      <c r="G7" s="52">
        <f t="shared" si="0"/>
        <v>50000000</v>
      </c>
      <c r="H7" s="52">
        <f t="shared" si="0"/>
        <v>0</v>
      </c>
      <c r="I7" s="52">
        <v>0</v>
      </c>
      <c r="J7" s="52">
        <v>0</v>
      </c>
    </row>
    <row r="8" spans="1:13">
      <c r="A8" s="716">
        <v>11020</v>
      </c>
      <c r="B8" s="717" t="s">
        <v>109</v>
      </c>
      <c r="C8" s="718">
        <f>+'balance 2022 inicial los andes '!C8</f>
        <v>143000000</v>
      </c>
      <c r="D8" s="718">
        <f>+'balance 2022 inicial los andes '!D8</f>
        <v>0</v>
      </c>
      <c r="E8" s="718">
        <f t="shared" si="1"/>
        <v>143000000</v>
      </c>
      <c r="F8" s="718">
        <f t="shared" si="2"/>
        <v>0</v>
      </c>
      <c r="G8" s="718">
        <f t="shared" si="0"/>
        <v>143000000</v>
      </c>
      <c r="H8" s="718">
        <f t="shared" si="0"/>
        <v>0</v>
      </c>
      <c r="I8" s="718">
        <v>0</v>
      </c>
      <c r="J8" s="718">
        <v>0</v>
      </c>
    </row>
    <row r="9" spans="1:13">
      <c r="A9" s="65">
        <f>+A8+1</f>
        <v>11021</v>
      </c>
      <c r="B9" s="58" t="s">
        <v>63</v>
      </c>
      <c r="C9" s="52">
        <f>+'balance 2022 inicial los andes '!C9</f>
        <v>0</v>
      </c>
      <c r="D9" s="52">
        <f>+'ajustes 2022'!F34</f>
        <v>7865000</v>
      </c>
      <c r="E9" s="52">
        <f t="shared" si="1"/>
        <v>0</v>
      </c>
      <c r="F9" s="52">
        <f t="shared" si="2"/>
        <v>7865000</v>
      </c>
      <c r="G9" s="52">
        <f t="shared" si="0"/>
        <v>0</v>
      </c>
      <c r="H9" s="52">
        <f t="shared" si="0"/>
        <v>7865000</v>
      </c>
      <c r="I9" s="52">
        <v>0</v>
      </c>
      <c r="J9" s="52">
        <v>0</v>
      </c>
    </row>
    <row r="10" spans="1:13">
      <c r="A10" s="716">
        <v>11051</v>
      </c>
      <c r="B10" s="717" t="s">
        <v>52</v>
      </c>
      <c r="C10" s="718">
        <f>+'balance 2022 inicial los andes '!C10</f>
        <v>695000000</v>
      </c>
      <c r="D10" s="718">
        <f>+'ajustes 2022'!F13</f>
        <v>320000000</v>
      </c>
      <c r="E10" s="718">
        <f t="shared" si="1"/>
        <v>375000000</v>
      </c>
      <c r="F10" s="718">
        <f t="shared" si="2"/>
        <v>0</v>
      </c>
      <c r="G10" s="718">
        <f t="shared" si="0"/>
        <v>375000000</v>
      </c>
      <c r="H10" s="718">
        <f t="shared" si="0"/>
        <v>0</v>
      </c>
      <c r="I10" s="718">
        <v>0</v>
      </c>
      <c r="J10" s="718">
        <v>0</v>
      </c>
      <c r="K10" s="713"/>
      <c r="M10" s="5"/>
    </row>
    <row r="11" spans="1:13" hidden="1">
      <c r="A11" s="65">
        <v>11071</v>
      </c>
      <c r="B11" s="58" t="s">
        <v>17</v>
      </c>
      <c r="C11" s="52">
        <f>+'balance 2022 inicial los andes '!C11</f>
        <v>0</v>
      </c>
      <c r="D11" s="52">
        <f>+'balance 2022 inicial los andes '!D11</f>
        <v>0</v>
      </c>
      <c r="E11" s="52">
        <f t="shared" si="1"/>
        <v>0</v>
      </c>
      <c r="F11" s="52">
        <f t="shared" si="2"/>
        <v>0</v>
      </c>
      <c r="G11" s="52">
        <f t="shared" si="0"/>
        <v>0</v>
      </c>
      <c r="H11" s="52">
        <f t="shared" si="0"/>
        <v>0</v>
      </c>
      <c r="I11" s="52">
        <v>0</v>
      </c>
      <c r="J11" s="52">
        <v>0</v>
      </c>
      <c r="M11" s="5"/>
    </row>
    <row r="12" spans="1:13">
      <c r="A12" s="65">
        <v>12001</v>
      </c>
      <c r="B12" s="58" t="s">
        <v>110</v>
      </c>
      <c r="C12" s="52">
        <f>+'balance 2022 inicial los andes '!C12+'ajustes 2022'!E9+'ajustes 2022'!E23</f>
        <v>10036000</v>
      </c>
      <c r="D12" s="52">
        <f>+'balance 2022 inicial los andes '!D12</f>
        <v>0</v>
      </c>
      <c r="E12" s="52">
        <f t="shared" si="1"/>
        <v>10036000</v>
      </c>
      <c r="F12" s="52">
        <f t="shared" si="2"/>
        <v>0</v>
      </c>
      <c r="G12" s="52">
        <f t="shared" si="0"/>
        <v>10036000</v>
      </c>
      <c r="H12" s="52">
        <f t="shared" si="0"/>
        <v>0</v>
      </c>
      <c r="I12" s="52">
        <v>0</v>
      </c>
      <c r="J12" s="52">
        <v>0</v>
      </c>
      <c r="M12" s="5"/>
    </row>
    <row r="13" spans="1:13">
      <c r="A13" s="65">
        <v>12002</v>
      </c>
      <c r="B13" s="58" t="s">
        <v>53</v>
      </c>
      <c r="C13" s="52">
        <f>+'balance 2022 inicial los andes '!C13</f>
        <v>132050000</v>
      </c>
      <c r="D13" s="52">
        <f>+'ajustes 2022'!F19</f>
        <v>120365000</v>
      </c>
      <c r="E13" s="52">
        <f t="shared" si="1"/>
        <v>11685000</v>
      </c>
      <c r="F13" s="52">
        <f t="shared" si="2"/>
        <v>0</v>
      </c>
      <c r="G13" s="52">
        <f t="shared" si="0"/>
        <v>11685000</v>
      </c>
      <c r="H13" s="52">
        <f t="shared" si="0"/>
        <v>0</v>
      </c>
      <c r="I13" s="52">
        <v>0</v>
      </c>
      <c r="J13" s="52">
        <v>0</v>
      </c>
      <c r="M13" s="5"/>
    </row>
    <row r="14" spans="1:13" hidden="1">
      <c r="A14" s="65">
        <v>12003</v>
      </c>
      <c r="B14" s="58" t="s">
        <v>114</v>
      </c>
      <c r="C14" s="52">
        <f>+'balance 2022 inicial los andes '!C14</f>
        <v>0</v>
      </c>
      <c r="D14" s="52">
        <f>+'balance 2022 inicial los andes '!D14</f>
        <v>0</v>
      </c>
      <c r="E14" s="52">
        <f t="shared" si="1"/>
        <v>0</v>
      </c>
      <c r="F14" s="52">
        <f t="shared" si="2"/>
        <v>0</v>
      </c>
      <c r="G14" s="52">
        <f t="shared" si="0"/>
        <v>0</v>
      </c>
      <c r="H14" s="52">
        <f t="shared" si="0"/>
        <v>0</v>
      </c>
      <c r="I14" s="52">
        <v>0</v>
      </c>
      <c r="J14" s="52">
        <v>0</v>
      </c>
      <c r="M14" s="5"/>
    </row>
    <row r="15" spans="1:13">
      <c r="A15" s="65">
        <v>13001</v>
      </c>
      <c r="B15" s="58" t="s">
        <v>50</v>
      </c>
      <c r="C15" s="52">
        <f>+'balance 2022 inicial los andes '!C15</f>
        <v>16000000</v>
      </c>
      <c r="D15" s="52">
        <f>+'balance 2022 inicial los andes '!D15</f>
        <v>0</v>
      </c>
      <c r="E15" s="52">
        <f t="shared" si="1"/>
        <v>16000000</v>
      </c>
      <c r="F15" s="52">
        <f t="shared" si="2"/>
        <v>0</v>
      </c>
      <c r="G15" s="52">
        <f t="shared" si="0"/>
        <v>16000000</v>
      </c>
      <c r="H15" s="52">
        <f t="shared" si="0"/>
        <v>0</v>
      </c>
      <c r="I15" s="52">
        <v>0</v>
      </c>
      <c r="J15" s="52">
        <v>0</v>
      </c>
      <c r="M15" s="5"/>
    </row>
    <row r="16" spans="1:13">
      <c r="A16" s="716" t="s">
        <v>54</v>
      </c>
      <c r="B16" s="717" t="s">
        <v>55</v>
      </c>
      <c r="C16" s="718">
        <f>+'balance 2022 inicial los andes '!C16+'ajustes 2022'!E26</f>
        <v>317260000</v>
      </c>
      <c r="D16" s="718">
        <f>+'balance 2022 inicial los andes '!D16</f>
        <v>0</v>
      </c>
      <c r="E16" s="718">
        <f t="shared" si="1"/>
        <v>317260000</v>
      </c>
      <c r="F16" s="718">
        <f t="shared" si="2"/>
        <v>0</v>
      </c>
      <c r="G16" s="718">
        <f t="shared" si="0"/>
        <v>317260000</v>
      </c>
      <c r="H16" s="718">
        <f t="shared" si="0"/>
        <v>0</v>
      </c>
      <c r="I16" s="718">
        <v>0</v>
      </c>
      <c r="J16" s="718">
        <v>0</v>
      </c>
      <c r="M16" s="5"/>
    </row>
    <row r="17" spans="1:12">
      <c r="A17" s="716" t="s">
        <v>56</v>
      </c>
      <c r="B17" s="717" t="s">
        <v>57</v>
      </c>
      <c r="C17" s="718">
        <f>+'balance 2022 inicial los andes '!C17+'ajustes 2022'!E27</f>
        <v>50000000</v>
      </c>
      <c r="D17" s="718">
        <f>+'balance 2022 inicial los andes '!D17</f>
        <v>0</v>
      </c>
      <c r="E17" s="718">
        <f t="shared" si="1"/>
        <v>50000000</v>
      </c>
      <c r="F17" s="718">
        <f t="shared" si="2"/>
        <v>0</v>
      </c>
      <c r="G17" s="718">
        <f t="shared" si="0"/>
        <v>50000000</v>
      </c>
      <c r="H17" s="718">
        <f t="shared" si="0"/>
        <v>0</v>
      </c>
      <c r="I17" s="718">
        <v>0</v>
      </c>
      <c r="J17" s="718">
        <v>0</v>
      </c>
    </row>
    <row r="18" spans="1:12" hidden="1">
      <c r="A18" s="716">
        <v>15010</v>
      </c>
      <c r="B18" s="717" t="s">
        <v>104</v>
      </c>
      <c r="C18" s="718">
        <f>+'balance 2022 inicial los andes '!C18</f>
        <v>0</v>
      </c>
      <c r="D18" s="718">
        <f>+'balance 2022 inicial los andes '!D18</f>
        <v>0</v>
      </c>
      <c r="E18" s="718">
        <f t="shared" si="1"/>
        <v>0</v>
      </c>
      <c r="F18" s="718">
        <f t="shared" si="2"/>
        <v>0</v>
      </c>
      <c r="G18" s="718">
        <f t="shared" si="0"/>
        <v>0</v>
      </c>
      <c r="H18" s="718">
        <f t="shared" si="0"/>
        <v>0</v>
      </c>
      <c r="I18" s="718">
        <v>0</v>
      </c>
      <c r="J18" s="718">
        <v>0</v>
      </c>
    </row>
    <row r="19" spans="1:12">
      <c r="A19" s="716">
        <v>15015</v>
      </c>
      <c r="B19" s="717" t="s">
        <v>58</v>
      </c>
      <c r="C19" s="718">
        <f>+'balance 2022 inicial los andes '!C19</f>
        <v>7000000</v>
      </c>
      <c r="D19" s="718">
        <f>+'balance 2022 inicial los andes '!D19</f>
        <v>0</v>
      </c>
      <c r="E19" s="718">
        <f t="shared" si="1"/>
        <v>7000000</v>
      </c>
      <c r="F19" s="718">
        <f t="shared" si="2"/>
        <v>0</v>
      </c>
      <c r="G19" s="718">
        <f t="shared" si="0"/>
        <v>7000000</v>
      </c>
      <c r="H19" s="718">
        <f t="shared" si="0"/>
        <v>0</v>
      </c>
      <c r="I19" s="718">
        <v>0</v>
      </c>
      <c r="J19" s="718">
        <v>0</v>
      </c>
    </row>
    <row r="20" spans="1:12" hidden="1">
      <c r="A20" s="65">
        <v>15020</v>
      </c>
      <c r="B20" s="58" t="s">
        <v>15</v>
      </c>
      <c r="C20" s="52">
        <f>+'balance 2022 inicial los andes '!C20</f>
        <v>0</v>
      </c>
      <c r="D20" s="52">
        <f>+'balance 2022 inicial los andes '!D20</f>
        <v>0</v>
      </c>
      <c r="E20" s="52">
        <f t="shared" si="1"/>
        <v>0</v>
      </c>
      <c r="F20" s="52">
        <f t="shared" si="2"/>
        <v>0</v>
      </c>
      <c r="G20" s="52">
        <f t="shared" si="0"/>
        <v>0</v>
      </c>
      <c r="H20" s="52">
        <f t="shared" si="0"/>
        <v>0</v>
      </c>
      <c r="I20" s="52">
        <v>0</v>
      </c>
      <c r="J20" s="52">
        <v>0</v>
      </c>
    </row>
    <row r="21" spans="1:12" hidden="1">
      <c r="A21" s="65">
        <v>15031</v>
      </c>
      <c r="B21" s="58" t="s">
        <v>88</v>
      </c>
      <c r="C21" s="52">
        <f>+'balance 2022 inicial los andes '!C21</f>
        <v>0</v>
      </c>
      <c r="D21" s="52">
        <f>+'balance 2022 inicial los andes '!D21</f>
        <v>0</v>
      </c>
      <c r="E21" s="52">
        <f t="shared" si="1"/>
        <v>0</v>
      </c>
      <c r="F21" s="52">
        <f t="shared" si="2"/>
        <v>0</v>
      </c>
      <c r="G21" s="52">
        <f t="shared" ref="G21:H40" si="3">IF(E21&gt;0,E21,0)</f>
        <v>0</v>
      </c>
      <c r="H21" s="52">
        <f t="shared" si="3"/>
        <v>0</v>
      </c>
      <c r="I21" s="52">
        <v>0</v>
      </c>
      <c r="J21" s="52">
        <v>0</v>
      </c>
    </row>
    <row r="22" spans="1:12" hidden="1">
      <c r="A22" s="65">
        <v>15101</v>
      </c>
      <c r="B22" s="58" t="s">
        <v>105</v>
      </c>
      <c r="C22" s="52">
        <f>+'balance 2022 inicial los andes '!C22</f>
        <v>0</v>
      </c>
      <c r="D22" s="52">
        <f>+'balance 2022 inicial los andes '!D22</f>
        <v>0</v>
      </c>
      <c r="E22" s="52">
        <f t="shared" si="1"/>
        <v>0</v>
      </c>
      <c r="F22" s="52">
        <f t="shared" si="2"/>
        <v>0</v>
      </c>
      <c r="G22" s="52">
        <f t="shared" si="3"/>
        <v>0</v>
      </c>
      <c r="H22" s="52">
        <f t="shared" si="3"/>
        <v>0</v>
      </c>
      <c r="I22" s="52">
        <v>0</v>
      </c>
      <c r="J22" s="52">
        <v>0</v>
      </c>
    </row>
    <row r="23" spans="1:12" hidden="1">
      <c r="A23" s="65">
        <v>15102</v>
      </c>
      <c r="B23" s="58" t="s">
        <v>106</v>
      </c>
      <c r="C23" s="52">
        <f>+'balance 2022 inicial los andes '!C23</f>
        <v>0</v>
      </c>
      <c r="D23" s="52">
        <f>+'balance 2022 inicial los andes '!D23</f>
        <v>0</v>
      </c>
      <c r="E23" s="52">
        <f t="shared" si="1"/>
        <v>0</v>
      </c>
      <c r="F23" s="52">
        <f t="shared" si="2"/>
        <v>0</v>
      </c>
      <c r="G23" s="52">
        <f t="shared" si="3"/>
        <v>0</v>
      </c>
      <c r="H23" s="52">
        <f t="shared" si="3"/>
        <v>0</v>
      </c>
      <c r="I23" s="52">
        <v>0</v>
      </c>
      <c r="J23" s="52">
        <v>0</v>
      </c>
    </row>
    <row r="24" spans="1:12">
      <c r="A24" s="67">
        <v>15410</v>
      </c>
      <c r="B24" s="58" t="s">
        <v>59</v>
      </c>
      <c r="C24" s="52">
        <f>+'balance 2022 inicial los andes '!C24</f>
        <v>0</v>
      </c>
      <c r="D24" s="52">
        <f>+'ajustes 2022'!F16</f>
        <v>5166666.666666666</v>
      </c>
      <c r="E24" s="52">
        <f t="shared" si="1"/>
        <v>0</v>
      </c>
      <c r="F24" s="52">
        <f t="shared" si="2"/>
        <v>5166666.666666666</v>
      </c>
      <c r="G24" s="52">
        <f t="shared" si="3"/>
        <v>0</v>
      </c>
      <c r="H24" s="52">
        <f t="shared" si="3"/>
        <v>5166666.666666666</v>
      </c>
      <c r="I24" s="52">
        <v>0</v>
      </c>
      <c r="J24" s="52">
        <v>0</v>
      </c>
    </row>
    <row r="25" spans="1:12" hidden="1">
      <c r="A25" s="67">
        <v>15420</v>
      </c>
      <c r="B25" s="58" t="s">
        <v>91</v>
      </c>
      <c r="C25" s="52">
        <f>+'balance 2022 inicial los andes '!C25</f>
        <v>0</v>
      </c>
      <c r="D25" s="52">
        <f>+'balance 2022 inicial los andes '!D25</f>
        <v>0</v>
      </c>
      <c r="E25" s="52">
        <f t="shared" si="1"/>
        <v>0</v>
      </c>
      <c r="F25" s="52">
        <f t="shared" si="2"/>
        <v>0</v>
      </c>
      <c r="G25" s="52">
        <f t="shared" si="3"/>
        <v>0</v>
      </c>
      <c r="H25" s="52">
        <f t="shared" si="3"/>
        <v>0</v>
      </c>
      <c r="I25" s="52">
        <v>0</v>
      </c>
      <c r="J25" s="52">
        <v>0</v>
      </c>
    </row>
    <row r="26" spans="1:12" hidden="1">
      <c r="A26" s="67">
        <v>18101</v>
      </c>
      <c r="B26" s="58" t="s">
        <v>87</v>
      </c>
      <c r="C26" s="52">
        <f>+'balance 2022 inicial los andes '!C26</f>
        <v>0</v>
      </c>
      <c r="D26" s="52">
        <f>+'balance 2022 inicial los andes '!D26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/>
      <c r="J26" s="52"/>
    </row>
    <row r="27" spans="1:12">
      <c r="A27" s="67">
        <v>20001</v>
      </c>
      <c r="B27" s="58" t="s">
        <v>98</v>
      </c>
      <c r="C27" s="52">
        <f>+'balance 2022 inicial los andes '!C27</f>
        <v>0</v>
      </c>
      <c r="D27" s="52">
        <f>+'balance 2022 inicial los andes '!D27</f>
        <v>42800000</v>
      </c>
      <c r="E27" s="52">
        <f t="shared" si="1"/>
        <v>0</v>
      </c>
      <c r="F27" s="52">
        <f t="shared" si="2"/>
        <v>42800000</v>
      </c>
      <c r="G27" s="52">
        <f t="shared" si="3"/>
        <v>0</v>
      </c>
      <c r="H27" s="52">
        <f t="shared" si="3"/>
        <v>42800000</v>
      </c>
      <c r="I27" s="52"/>
      <c r="J27" s="52"/>
    </row>
    <row r="28" spans="1:12" hidden="1">
      <c r="A28" s="67">
        <v>20021</v>
      </c>
      <c r="B28" s="58" t="s">
        <v>99</v>
      </c>
      <c r="C28" s="52">
        <f>+'balance 2022 inicial los andes '!C28</f>
        <v>0</v>
      </c>
      <c r="D28" s="52">
        <f>+'balance 2022 inicial los andes '!D28</f>
        <v>0</v>
      </c>
      <c r="E28" s="52">
        <f t="shared" si="1"/>
        <v>0</v>
      </c>
      <c r="F28" s="52">
        <f t="shared" si="2"/>
        <v>0</v>
      </c>
      <c r="G28" s="52">
        <f t="shared" si="3"/>
        <v>0</v>
      </c>
      <c r="H28" s="52">
        <f t="shared" si="3"/>
        <v>0</v>
      </c>
      <c r="I28" s="52"/>
      <c r="J28" s="52"/>
    </row>
    <row r="29" spans="1:12">
      <c r="A29" s="67">
        <v>20151</v>
      </c>
      <c r="B29" s="58" t="s">
        <v>60</v>
      </c>
      <c r="C29" s="52">
        <f>+'ajustes 2022'!E18</f>
        <v>164312000</v>
      </c>
      <c r="D29" s="52">
        <f>+'balance 2022 inicial los andes '!D29</f>
        <v>180500000</v>
      </c>
      <c r="E29" s="52">
        <f t="shared" si="1"/>
        <v>0</v>
      </c>
      <c r="F29" s="52">
        <f t="shared" si="2"/>
        <v>16188000</v>
      </c>
      <c r="G29" s="52">
        <f t="shared" si="3"/>
        <v>0</v>
      </c>
      <c r="H29" s="52">
        <f t="shared" si="3"/>
        <v>16188000</v>
      </c>
      <c r="I29" s="52"/>
      <c r="J29" s="52"/>
    </row>
    <row r="30" spans="1:12">
      <c r="A30" s="716" t="s">
        <v>61</v>
      </c>
      <c r="B30" s="717" t="s">
        <v>6</v>
      </c>
      <c r="C30" s="718">
        <f>+'balance 2022 inicial los andes '!C30</f>
        <v>0</v>
      </c>
      <c r="D30" s="718">
        <f>+'balance 2022 inicial los andes '!D30</f>
        <v>187410000</v>
      </c>
      <c r="E30" s="718">
        <f t="shared" si="1"/>
        <v>0</v>
      </c>
      <c r="F30" s="718">
        <f t="shared" si="2"/>
        <v>187410000</v>
      </c>
      <c r="G30" s="718">
        <f t="shared" si="3"/>
        <v>0</v>
      </c>
      <c r="H30" s="718">
        <f t="shared" si="3"/>
        <v>187410000</v>
      </c>
      <c r="I30" s="718">
        <v>0</v>
      </c>
      <c r="J30" s="718">
        <v>0</v>
      </c>
      <c r="L30" t="s">
        <v>788</v>
      </c>
    </row>
    <row r="31" spans="1:12">
      <c r="A31" s="65">
        <v>21002</v>
      </c>
      <c r="B31" s="58" t="s">
        <v>62</v>
      </c>
      <c r="C31" s="52">
        <f>+'balance 2022 inicial los andes '!C31</f>
        <v>0</v>
      </c>
      <c r="D31" s="52">
        <f>+'balance 2022 inicial los andes '!D31</f>
        <v>15478000</v>
      </c>
      <c r="E31" s="52">
        <f t="shared" si="1"/>
        <v>0</v>
      </c>
      <c r="F31" s="52">
        <f t="shared" si="2"/>
        <v>15478000</v>
      </c>
      <c r="G31" s="52">
        <f t="shared" si="3"/>
        <v>0</v>
      </c>
      <c r="H31" s="52">
        <f t="shared" si="3"/>
        <v>15478000</v>
      </c>
      <c r="I31" s="52">
        <v>0</v>
      </c>
      <c r="J31" s="52">
        <v>0</v>
      </c>
    </row>
    <row r="32" spans="1:12" hidden="1">
      <c r="A32" s="65">
        <v>22001</v>
      </c>
      <c r="B32" s="58" t="s">
        <v>115</v>
      </c>
      <c r="C32" s="52">
        <f>+'balance 2022 inicial los andes '!C32</f>
        <v>0</v>
      </c>
      <c r="D32" s="52">
        <f>+'balance 2022 inicial los andes '!D32</f>
        <v>0</v>
      </c>
      <c r="E32" s="52">
        <f t="shared" si="1"/>
        <v>0</v>
      </c>
      <c r="F32" s="52">
        <f t="shared" si="2"/>
        <v>0</v>
      </c>
      <c r="G32" s="52">
        <f t="shared" si="3"/>
        <v>0</v>
      </c>
      <c r="H32" s="52">
        <f t="shared" si="3"/>
        <v>0</v>
      </c>
      <c r="I32" s="52">
        <v>0</v>
      </c>
      <c r="J32" s="52">
        <v>0</v>
      </c>
    </row>
    <row r="33" spans="1:10">
      <c r="A33" s="716">
        <v>22002</v>
      </c>
      <c r="B33" s="717" t="s">
        <v>108</v>
      </c>
      <c r="C33" s="718">
        <f>+'balance 2022 inicial los andes '!C33</f>
        <v>6499200</v>
      </c>
      <c r="D33" s="718">
        <f>+'balance 2022 inicial los andes '!D33</f>
        <v>7134000</v>
      </c>
      <c r="E33" s="718">
        <f t="shared" si="1"/>
        <v>0</v>
      </c>
      <c r="F33" s="718">
        <f t="shared" si="2"/>
        <v>634800</v>
      </c>
      <c r="G33" s="718">
        <f t="shared" si="3"/>
        <v>0</v>
      </c>
      <c r="H33" s="718">
        <f t="shared" si="3"/>
        <v>634800</v>
      </c>
      <c r="I33" s="718">
        <v>0</v>
      </c>
      <c r="J33" s="718">
        <v>0</v>
      </c>
    </row>
    <row r="34" spans="1:10">
      <c r="A34" s="716">
        <v>22051</v>
      </c>
      <c r="B34" s="717" t="s">
        <v>65</v>
      </c>
      <c r="C34" s="718">
        <f>+'ajustes 2022'!E20</f>
        <v>4390000</v>
      </c>
      <c r="D34" s="718">
        <f>+'balance 2022 inicial los andes '!D34</f>
        <v>4500000</v>
      </c>
      <c r="E34" s="718">
        <f t="shared" si="1"/>
        <v>0</v>
      </c>
      <c r="F34" s="718">
        <f t="shared" si="2"/>
        <v>110000</v>
      </c>
      <c r="G34" s="718">
        <f t="shared" si="3"/>
        <v>0</v>
      </c>
      <c r="H34" s="718">
        <f t="shared" si="3"/>
        <v>110000</v>
      </c>
      <c r="I34" s="718">
        <v>0</v>
      </c>
      <c r="J34" s="718">
        <v>0</v>
      </c>
    </row>
    <row r="35" spans="1:10" hidden="1">
      <c r="A35" s="66">
        <v>23001</v>
      </c>
      <c r="B35" s="58" t="s">
        <v>95</v>
      </c>
      <c r="C35" s="52">
        <f>+'balance 2022 inicial los andes '!C35</f>
        <v>0</v>
      </c>
      <c r="D35" s="52">
        <f>+'balance 2022 inicial los andes '!D35</f>
        <v>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0">
      <c r="A36" s="67">
        <v>24001</v>
      </c>
      <c r="B36" s="58" t="s">
        <v>66</v>
      </c>
      <c r="C36" s="52">
        <f>+'balance 2022 inicial los andes '!C36</f>
        <v>0</v>
      </c>
      <c r="D36" s="52">
        <f>+'ajustes 2022'!F38</f>
        <v>0</v>
      </c>
      <c r="E36" s="52">
        <f t="shared" si="1"/>
        <v>0</v>
      </c>
      <c r="F36" s="52">
        <f t="shared" si="2"/>
        <v>0</v>
      </c>
      <c r="G36" s="52">
        <f t="shared" si="3"/>
        <v>0</v>
      </c>
      <c r="H36" s="52">
        <f t="shared" si="3"/>
        <v>0</v>
      </c>
      <c r="I36" s="52">
        <v>0</v>
      </c>
      <c r="J36" s="52">
        <v>0</v>
      </c>
    </row>
    <row r="37" spans="1:10" hidden="1">
      <c r="A37" s="66">
        <v>24002</v>
      </c>
      <c r="B37" s="58" t="s">
        <v>103</v>
      </c>
      <c r="C37" s="52">
        <f>+'balance 2022 inicial los andes '!C37</f>
        <v>0</v>
      </c>
      <c r="D37" s="52">
        <f>+'balance 2022 inicial los andes '!D37</f>
        <v>0</v>
      </c>
      <c r="E37" s="52">
        <f t="shared" si="1"/>
        <v>0</v>
      </c>
      <c r="F37" s="52">
        <f t="shared" si="2"/>
        <v>0</v>
      </c>
      <c r="G37" s="52">
        <f t="shared" si="3"/>
        <v>0</v>
      </c>
      <c r="H37" s="52">
        <f t="shared" si="3"/>
        <v>0</v>
      </c>
      <c r="I37" s="52">
        <v>0</v>
      </c>
      <c r="J37" s="52">
        <v>0</v>
      </c>
    </row>
    <row r="38" spans="1:10">
      <c r="A38" s="66">
        <v>24010</v>
      </c>
      <c r="B38" s="58" t="s">
        <v>111</v>
      </c>
      <c r="C38" s="52">
        <f>+'balance 2022 inicial los andes '!C38</f>
        <v>0</v>
      </c>
      <c r="D38" s="52">
        <f>+'ajustes 2022'!F24</f>
        <v>2556000</v>
      </c>
      <c r="E38" s="52">
        <f t="shared" si="1"/>
        <v>0</v>
      </c>
      <c r="F38" s="52">
        <f t="shared" si="2"/>
        <v>2556000</v>
      </c>
      <c r="G38" s="52">
        <f t="shared" si="3"/>
        <v>0</v>
      </c>
      <c r="H38" s="52">
        <f t="shared" si="3"/>
        <v>2556000</v>
      </c>
      <c r="I38" s="52">
        <v>0</v>
      </c>
      <c r="J38" s="52">
        <v>0</v>
      </c>
    </row>
    <row r="39" spans="1:10">
      <c r="A39" s="65">
        <v>24015</v>
      </c>
      <c r="B39" s="58" t="s">
        <v>64</v>
      </c>
      <c r="C39" s="52">
        <f>+'balance 2022 inicial los andes '!C39</f>
        <v>0</v>
      </c>
      <c r="D39" s="52">
        <f>+'provision vacaciones dos años '!H24</f>
        <v>950499.99999999988</v>
      </c>
      <c r="E39" s="52">
        <f t="shared" si="1"/>
        <v>0</v>
      </c>
      <c r="F39" s="52">
        <f t="shared" si="2"/>
        <v>950499.99999999988</v>
      </c>
      <c r="G39" s="52">
        <f t="shared" si="3"/>
        <v>0</v>
      </c>
      <c r="H39" s="52">
        <f t="shared" si="3"/>
        <v>950499.99999999988</v>
      </c>
      <c r="I39" s="52">
        <v>0</v>
      </c>
      <c r="J39" s="52">
        <v>0</v>
      </c>
    </row>
    <row r="40" spans="1:10">
      <c r="A40" s="66">
        <v>25001</v>
      </c>
      <c r="B40" s="58" t="s">
        <v>96</v>
      </c>
      <c r="C40" s="52">
        <f>+'ajustes 2022'!E37</f>
        <v>0</v>
      </c>
      <c r="D40" s="52">
        <f>+'balance 2022 inicial los andes '!D40</f>
        <v>0</v>
      </c>
      <c r="E40" s="52">
        <f t="shared" si="1"/>
        <v>0</v>
      </c>
      <c r="F40" s="52">
        <f t="shared" si="2"/>
        <v>0</v>
      </c>
      <c r="G40" s="52">
        <f t="shared" si="3"/>
        <v>0</v>
      </c>
      <c r="H40" s="52">
        <f t="shared" si="3"/>
        <v>0</v>
      </c>
      <c r="I40" s="52">
        <v>0</v>
      </c>
      <c r="J40" s="52">
        <v>0</v>
      </c>
    </row>
    <row r="41" spans="1:10">
      <c r="A41" s="65">
        <v>33001</v>
      </c>
      <c r="B41" s="58" t="s">
        <v>78</v>
      </c>
      <c r="C41" s="52">
        <f>+'balance 2022 inicial los andes '!C41</f>
        <v>0</v>
      </c>
      <c r="D41" s="52">
        <f>+'balance 2022 inicial los andes '!D41</f>
        <v>200000000</v>
      </c>
      <c r="E41" s="52">
        <f t="shared" si="1"/>
        <v>0</v>
      </c>
      <c r="F41" s="52">
        <f t="shared" si="2"/>
        <v>200000000</v>
      </c>
      <c r="G41" s="52">
        <f t="shared" ref="G41:H45" si="4">IF(E41&gt;0,E41,0)</f>
        <v>0</v>
      </c>
      <c r="H41" s="52">
        <f t="shared" si="4"/>
        <v>200000000</v>
      </c>
      <c r="I41" s="52">
        <v>0</v>
      </c>
      <c r="J41" s="52">
        <v>0</v>
      </c>
    </row>
    <row r="42" spans="1:10">
      <c r="A42" s="65">
        <v>33002</v>
      </c>
      <c r="B42" s="58" t="s">
        <v>79</v>
      </c>
      <c r="C42" s="52">
        <f>+'balance 2022 inicial los andes '!C42</f>
        <v>200000000</v>
      </c>
      <c r="D42" s="52">
        <f>+'balance 2022 inicial los andes '!D42+'ajustes 2022'!F4</f>
        <v>160000000</v>
      </c>
      <c r="E42" s="52">
        <f t="shared" si="1"/>
        <v>40000000</v>
      </c>
      <c r="F42" s="52">
        <f t="shared" si="2"/>
        <v>0</v>
      </c>
      <c r="G42" s="52">
        <f t="shared" si="4"/>
        <v>40000000</v>
      </c>
      <c r="H42" s="52">
        <f t="shared" si="4"/>
        <v>0</v>
      </c>
      <c r="I42" s="52">
        <v>0</v>
      </c>
      <c r="J42" s="52">
        <v>0</v>
      </c>
    </row>
    <row r="43" spans="1:10">
      <c r="A43" s="65">
        <v>33003</v>
      </c>
      <c r="B43" s="58" t="s">
        <v>80</v>
      </c>
      <c r="C43" s="52">
        <f>+'balance 2022 inicial los andes '!C43+'ajustes 2022'!E3</f>
        <v>160000000</v>
      </c>
      <c r="D43" s="52">
        <f>+'balance 2022 inicial los andes '!D43+'ajustes 2022'!F7</f>
        <v>100000000</v>
      </c>
      <c r="E43" s="52">
        <f t="shared" si="1"/>
        <v>60000000</v>
      </c>
      <c r="F43" s="52">
        <f t="shared" si="2"/>
        <v>0</v>
      </c>
      <c r="G43" s="52">
        <f t="shared" si="4"/>
        <v>60000000</v>
      </c>
      <c r="H43" s="52">
        <f t="shared" si="4"/>
        <v>0</v>
      </c>
      <c r="I43" s="52">
        <v>0</v>
      </c>
      <c r="J43" s="52">
        <v>0</v>
      </c>
    </row>
    <row r="44" spans="1:10">
      <c r="A44" s="65">
        <v>33011</v>
      </c>
      <c r="B44" s="58" t="s">
        <v>67</v>
      </c>
      <c r="C44" s="52">
        <f>+'balance 2022 inicial los andes '!C44</f>
        <v>0</v>
      </c>
      <c r="D44" s="52">
        <f>+'ajustes 2022'!F28</f>
        <v>112500000</v>
      </c>
      <c r="E44" s="52">
        <f t="shared" si="1"/>
        <v>0</v>
      </c>
      <c r="F44" s="52">
        <f t="shared" si="2"/>
        <v>112500000</v>
      </c>
      <c r="G44" s="52">
        <f t="shared" si="4"/>
        <v>0</v>
      </c>
      <c r="H44" s="52">
        <f t="shared" si="4"/>
        <v>112500000</v>
      </c>
      <c r="I44" s="52">
        <v>0</v>
      </c>
      <c r="J44" s="52">
        <v>0</v>
      </c>
    </row>
    <row r="45" spans="1:10">
      <c r="A45" s="719">
        <v>34001</v>
      </c>
      <c r="B45" s="717" t="s">
        <v>82</v>
      </c>
      <c r="C45" s="718">
        <f>+'balance 2022 inicial los andes '!C45</f>
        <v>25000000</v>
      </c>
      <c r="D45" s="718">
        <f>+'balance 2022 inicial los andes '!D45</f>
        <v>0</v>
      </c>
      <c r="E45" s="718">
        <f t="shared" si="1"/>
        <v>25000000</v>
      </c>
      <c r="F45" s="718">
        <f t="shared" si="2"/>
        <v>0</v>
      </c>
      <c r="G45" s="718">
        <f t="shared" si="4"/>
        <v>25000000</v>
      </c>
      <c r="H45" s="718">
        <f t="shared" si="4"/>
        <v>0</v>
      </c>
      <c r="I45" s="718">
        <v>0</v>
      </c>
      <c r="J45" s="718">
        <v>0</v>
      </c>
    </row>
    <row r="46" spans="1:10">
      <c r="A46" s="67">
        <v>41001</v>
      </c>
      <c r="B46" s="58" t="s">
        <v>101</v>
      </c>
      <c r="C46" s="52">
        <f>+'ajustes 2022'!E12</f>
        <v>320000000</v>
      </c>
      <c r="D46" s="52">
        <f>+'balance 2022 inicial los andes '!D46</f>
        <v>0</v>
      </c>
      <c r="E46" s="52">
        <f t="shared" ref="E46:E68" si="5">IF(C46&gt;D46,(C46-D46),0)</f>
        <v>320000000</v>
      </c>
      <c r="F46" s="52">
        <f t="shared" ref="F46:F68" si="6">IF(D46&gt;C46,D46-C46,0)</f>
        <v>0</v>
      </c>
      <c r="G46" s="52"/>
      <c r="H46" s="52"/>
      <c r="I46" s="52">
        <f t="shared" ref="I46:I68" si="7">IF(E46&gt;F46,E46,0)</f>
        <v>320000000</v>
      </c>
      <c r="J46" s="52">
        <f t="shared" ref="J46:J68" si="8">IF(F46&gt;E46,F46,0)</f>
        <v>0</v>
      </c>
    </row>
    <row r="47" spans="1:10">
      <c r="A47" s="67">
        <v>42001</v>
      </c>
      <c r="B47" s="58" t="s">
        <v>68</v>
      </c>
      <c r="C47" s="52">
        <f>+'balance 2022 inicial los andes '!C47</f>
        <v>24600000</v>
      </c>
      <c r="D47" s="52">
        <f>+'balance 2022 inicial los andes '!D47</f>
        <v>0</v>
      </c>
      <c r="E47" s="52">
        <f t="shared" si="5"/>
        <v>24600000</v>
      </c>
      <c r="F47" s="52">
        <f t="shared" si="6"/>
        <v>0</v>
      </c>
      <c r="G47" s="52"/>
      <c r="H47" s="52"/>
      <c r="I47" s="52">
        <f t="shared" si="7"/>
        <v>24600000</v>
      </c>
      <c r="J47" s="52">
        <f t="shared" si="8"/>
        <v>0</v>
      </c>
    </row>
    <row r="48" spans="1:10">
      <c r="A48" s="67">
        <v>42002</v>
      </c>
      <c r="B48" s="58" t="s">
        <v>83</v>
      </c>
      <c r="C48" s="52">
        <f>+'balance 2022 inicial los andes '!C48</f>
        <v>1230000</v>
      </c>
      <c r="D48" s="52">
        <f>+'balance 2022 inicial los andes '!D48</f>
        <v>0</v>
      </c>
      <c r="E48" s="52">
        <f t="shared" si="5"/>
        <v>1230000</v>
      </c>
      <c r="F48" s="52">
        <f t="shared" si="6"/>
        <v>0</v>
      </c>
      <c r="G48" s="52"/>
      <c r="H48" s="52"/>
      <c r="I48" s="52">
        <f t="shared" si="7"/>
        <v>1230000</v>
      </c>
      <c r="J48" s="52">
        <f t="shared" si="8"/>
        <v>0</v>
      </c>
    </row>
    <row r="49" spans="1:13">
      <c r="A49" s="67">
        <v>42011</v>
      </c>
      <c r="B49" s="58" t="s">
        <v>182</v>
      </c>
      <c r="C49" s="52">
        <f>+'ajustes 2022'!E30</f>
        <v>950499.99999999988</v>
      </c>
      <c r="D49" s="52"/>
      <c r="E49" s="52">
        <f t="shared" ref="E49" si="9">IF(C49&gt;D49,(C49-D49),0)</f>
        <v>950499.99999999988</v>
      </c>
      <c r="F49" s="52">
        <f t="shared" ref="F49" si="10">IF(D49&gt;C49,D49-C49,0)</f>
        <v>0</v>
      </c>
      <c r="G49" s="52"/>
      <c r="H49" s="52"/>
      <c r="I49" s="52">
        <f t="shared" ref="I49" si="11">IF(E49&gt;F49,E49,0)</f>
        <v>950499.99999999988</v>
      </c>
      <c r="J49" s="52">
        <f t="shared" ref="J49" si="12">IF(F49&gt;E49,F49,0)</f>
        <v>0</v>
      </c>
    </row>
    <row r="50" spans="1:13">
      <c r="A50" s="67">
        <v>42051</v>
      </c>
      <c r="B50" s="58" t="s">
        <v>69</v>
      </c>
      <c r="C50" s="52">
        <f>+'balance 2022 inicial los andes '!C49</f>
        <v>12345000</v>
      </c>
      <c r="D50" s="52">
        <f>+'balance 2022 inicial los andes '!D49</f>
        <v>0</v>
      </c>
      <c r="E50" s="52">
        <f t="shared" si="5"/>
        <v>12345000</v>
      </c>
      <c r="F50" s="52">
        <f t="shared" si="6"/>
        <v>0</v>
      </c>
      <c r="G50" s="52"/>
      <c r="H50" s="52"/>
      <c r="I50" s="52">
        <f t="shared" si="7"/>
        <v>12345000</v>
      </c>
      <c r="J50" s="52">
        <f t="shared" si="8"/>
        <v>0</v>
      </c>
    </row>
    <row r="51" spans="1:13" hidden="1">
      <c r="A51" s="67">
        <v>43001</v>
      </c>
      <c r="B51" s="58" t="s">
        <v>102</v>
      </c>
      <c r="C51" s="52">
        <f>+'balance 2022 inicial los andes '!C50</f>
        <v>0</v>
      </c>
      <c r="D51" s="52">
        <f>+'balance 2022 inicial los andes '!D50</f>
        <v>0</v>
      </c>
      <c r="E51" s="52">
        <f t="shared" si="5"/>
        <v>0</v>
      </c>
      <c r="F51" s="52">
        <f t="shared" si="6"/>
        <v>0</v>
      </c>
      <c r="G51" s="52"/>
      <c r="H51" s="52"/>
      <c r="I51" s="52">
        <f t="shared" si="7"/>
        <v>0</v>
      </c>
      <c r="J51" s="52">
        <f t="shared" si="8"/>
        <v>0</v>
      </c>
    </row>
    <row r="52" spans="1:13" hidden="1">
      <c r="A52" s="67">
        <v>43002</v>
      </c>
      <c r="B52" s="58" t="s">
        <v>107</v>
      </c>
      <c r="C52" s="52">
        <f>+'balance 2022 inicial los andes '!C51</f>
        <v>0</v>
      </c>
      <c r="D52" s="52">
        <f>+'balance 2022 inicial los andes '!D51</f>
        <v>0</v>
      </c>
      <c r="E52" s="52">
        <f t="shared" si="5"/>
        <v>0</v>
      </c>
      <c r="F52" s="52">
        <f t="shared" si="6"/>
        <v>0</v>
      </c>
      <c r="G52" s="52"/>
      <c r="H52" s="52"/>
      <c r="I52" s="52">
        <f t="shared" si="7"/>
        <v>0</v>
      </c>
      <c r="J52" s="52">
        <f t="shared" si="8"/>
        <v>0</v>
      </c>
    </row>
    <row r="53" spans="1:13">
      <c r="A53" s="67" t="s">
        <v>70</v>
      </c>
      <c r="B53" s="58" t="s">
        <v>71</v>
      </c>
      <c r="C53" s="52">
        <f>+'balance 2022 inicial los andes '!C52</f>
        <v>1980000</v>
      </c>
      <c r="D53" s="52">
        <f>+'balance 2022 inicial los andes '!D52</f>
        <v>0</v>
      </c>
      <c r="E53" s="52">
        <f t="shared" si="5"/>
        <v>1980000</v>
      </c>
      <c r="F53" s="52">
        <f t="shared" si="6"/>
        <v>0</v>
      </c>
      <c r="G53" s="52"/>
      <c r="H53" s="52"/>
      <c r="I53" s="52">
        <f t="shared" si="7"/>
        <v>1980000</v>
      </c>
      <c r="J53" s="52">
        <f t="shared" si="8"/>
        <v>0</v>
      </c>
      <c r="L53" t="s">
        <v>789</v>
      </c>
    </row>
    <row r="54" spans="1:13">
      <c r="A54" s="67" t="s">
        <v>72</v>
      </c>
      <c r="B54" s="58" t="s">
        <v>73</v>
      </c>
      <c r="C54" s="52"/>
      <c r="D54" s="52">
        <f>+'balance 2022 inicial los andes '!D53</f>
        <v>0</v>
      </c>
      <c r="E54" s="52">
        <f t="shared" si="5"/>
        <v>0</v>
      </c>
      <c r="F54" s="52">
        <f t="shared" si="6"/>
        <v>0</v>
      </c>
      <c r="G54" s="52"/>
      <c r="H54" s="52"/>
      <c r="I54" s="52">
        <f t="shared" si="7"/>
        <v>0</v>
      </c>
      <c r="J54" s="52">
        <f t="shared" si="8"/>
        <v>0</v>
      </c>
    </row>
    <row r="55" spans="1:13">
      <c r="A55" s="67">
        <v>45101</v>
      </c>
      <c r="B55" s="58" t="s">
        <v>74</v>
      </c>
      <c r="C55" s="52">
        <f>+'balance 2022 inicial los andes '!C54</f>
        <v>2543000</v>
      </c>
      <c r="D55" s="52">
        <f>+'balance 2022 inicial los andes '!D54</f>
        <v>0</v>
      </c>
      <c r="E55" s="52">
        <f t="shared" si="5"/>
        <v>2543000</v>
      </c>
      <c r="F55" s="52">
        <f t="shared" si="6"/>
        <v>0</v>
      </c>
      <c r="G55" s="52"/>
      <c r="H55" s="52"/>
      <c r="I55" s="52">
        <f t="shared" si="7"/>
        <v>2543000</v>
      </c>
      <c r="J55" s="52">
        <f t="shared" si="8"/>
        <v>0</v>
      </c>
    </row>
    <row r="56" spans="1:13">
      <c r="A56" s="67">
        <v>46001</v>
      </c>
      <c r="B56" s="58" t="s">
        <v>193</v>
      </c>
      <c r="C56" s="52">
        <f>+'balance 2022 inicial los andes '!C55</f>
        <v>4000000</v>
      </c>
      <c r="D56" s="52">
        <f>+'balance 2022 inicial los andes '!D55</f>
        <v>0</v>
      </c>
      <c r="E56" s="52">
        <f t="shared" si="5"/>
        <v>4000000</v>
      </c>
      <c r="F56" s="52">
        <f t="shared" si="6"/>
        <v>0</v>
      </c>
      <c r="G56" s="52"/>
      <c r="H56" s="52"/>
      <c r="I56" s="52">
        <f t="shared" si="7"/>
        <v>4000000</v>
      </c>
      <c r="J56" s="52">
        <f t="shared" si="8"/>
        <v>0</v>
      </c>
    </row>
    <row r="57" spans="1:13">
      <c r="A57" s="67">
        <v>47141</v>
      </c>
      <c r="B57" s="58" t="s">
        <v>85</v>
      </c>
      <c r="C57" s="52">
        <f>+'ajustes 2022'!E33</f>
        <v>7865000</v>
      </c>
      <c r="D57" s="52">
        <f>+'balance 2022 inicial los andes '!D56</f>
        <v>0</v>
      </c>
      <c r="E57" s="52">
        <f t="shared" si="5"/>
        <v>7865000</v>
      </c>
      <c r="F57" s="52">
        <f t="shared" si="6"/>
        <v>0</v>
      </c>
      <c r="G57" s="52"/>
      <c r="H57" s="52"/>
      <c r="I57" s="52">
        <f t="shared" si="7"/>
        <v>7865000</v>
      </c>
      <c r="J57" s="52">
        <f t="shared" si="8"/>
        <v>0</v>
      </c>
      <c r="M57" s="5"/>
    </row>
    <row r="58" spans="1:13" hidden="1">
      <c r="A58" s="67">
        <v>47151</v>
      </c>
      <c r="B58" s="58" t="s">
        <v>89</v>
      </c>
      <c r="C58" s="52">
        <f>+'balance 2022 inicial los andes '!C57</f>
        <v>0</v>
      </c>
      <c r="D58" s="52">
        <f>+'balance 2022 inicial los andes '!D57</f>
        <v>0</v>
      </c>
      <c r="E58" s="52">
        <f t="shared" si="5"/>
        <v>0</v>
      </c>
      <c r="F58" s="52">
        <f t="shared" si="6"/>
        <v>0</v>
      </c>
      <c r="G58" s="52"/>
      <c r="H58" s="52"/>
      <c r="I58" s="52">
        <f t="shared" si="7"/>
        <v>0</v>
      </c>
      <c r="J58" s="52">
        <f t="shared" si="8"/>
        <v>0</v>
      </c>
      <c r="M58" s="5"/>
    </row>
    <row r="59" spans="1:13" hidden="1">
      <c r="A59" s="67">
        <v>47152</v>
      </c>
      <c r="B59" s="58" t="s">
        <v>21</v>
      </c>
      <c r="C59" s="52">
        <f>+'balance 2022 inicial los andes '!C58</f>
        <v>0</v>
      </c>
      <c r="D59" s="52">
        <f>+'balance 2022 inicial los andes '!D58</f>
        <v>0</v>
      </c>
      <c r="E59" s="52">
        <f t="shared" si="5"/>
        <v>0</v>
      </c>
      <c r="F59" s="52">
        <f t="shared" si="6"/>
        <v>0</v>
      </c>
      <c r="G59" s="52"/>
      <c r="H59" s="52"/>
      <c r="I59" s="52">
        <f t="shared" si="7"/>
        <v>0</v>
      </c>
      <c r="J59" s="52">
        <f t="shared" si="8"/>
        <v>0</v>
      </c>
      <c r="M59" s="5"/>
    </row>
    <row r="60" spans="1:13" hidden="1">
      <c r="A60" s="67">
        <v>48001</v>
      </c>
      <c r="B60" s="58" t="s">
        <v>90</v>
      </c>
      <c r="C60" s="52">
        <f>+'balance 2022 inicial los andes '!C59</f>
        <v>0</v>
      </c>
      <c r="D60" s="52">
        <f>+'balance 2022 inicial los andes '!D59</f>
        <v>0</v>
      </c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  <c r="M60" s="5"/>
    </row>
    <row r="61" spans="1:13" hidden="1">
      <c r="A61" s="67">
        <v>48101</v>
      </c>
      <c r="B61" s="58" t="s">
        <v>100</v>
      </c>
      <c r="C61" s="52">
        <f>+'balance 2022 inicial los andes '!C60</f>
        <v>0</v>
      </c>
      <c r="D61" s="52">
        <f>+'balance 2022 inicial los andes '!D60</f>
        <v>0</v>
      </c>
      <c r="E61" s="52">
        <f t="shared" si="5"/>
        <v>0</v>
      </c>
      <c r="F61" s="52">
        <f t="shared" si="6"/>
        <v>0</v>
      </c>
      <c r="G61" s="52"/>
      <c r="H61" s="52"/>
      <c r="I61" s="52">
        <f t="shared" si="7"/>
        <v>0</v>
      </c>
      <c r="J61" s="52">
        <f t="shared" si="8"/>
        <v>0</v>
      </c>
      <c r="M61" s="5"/>
    </row>
    <row r="62" spans="1:13" hidden="1">
      <c r="A62" s="67">
        <v>48150</v>
      </c>
      <c r="B62" s="58" t="s">
        <v>94</v>
      </c>
      <c r="C62" s="52">
        <f>+'balance 2022 inicial los andes '!C61</f>
        <v>0</v>
      </c>
      <c r="D62" s="52">
        <f>+'balance 2022 inicial los andes '!D61</f>
        <v>0</v>
      </c>
      <c r="E62" s="52">
        <f t="shared" si="5"/>
        <v>0</v>
      </c>
      <c r="F62" s="52">
        <f t="shared" si="6"/>
        <v>0</v>
      </c>
      <c r="G62" s="52"/>
      <c r="H62" s="52"/>
      <c r="I62" s="52">
        <f t="shared" si="7"/>
        <v>0</v>
      </c>
      <c r="J62" s="52">
        <f t="shared" si="8"/>
        <v>0</v>
      </c>
      <c r="M62" s="5"/>
    </row>
    <row r="63" spans="1:13">
      <c r="A63" s="67">
        <v>49001</v>
      </c>
      <c r="B63" s="58" t="s">
        <v>92</v>
      </c>
      <c r="C63" s="52">
        <f>+'ajustes 2022'!E15</f>
        <v>5166666.666666666</v>
      </c>
      <c r="D63" s="52">
        <f>+'balance 2022 inicial los andes '!D62</f>
        <v>0</v>
      </c>
      <c r="E63" s="52">
        <f t="shared" si="5"/>
        <v>5166666.666666666</v>
      </c>
      <c r="F63" s="52">
        <f t="shared" si="6"/>
        <v>0</v>
      </c>
      <c r="G63" s="52"/>
      <c r="H63" s="52"/>
      <c r="I63" s="52">
        <f t="shared" si="7"/>
        <v>5166666.666666666</v>
      </c>
      <c r="J63" s="52">
        <f t="shared" si="8"/>
        <v>0</v>
      </c>
    </row>
    <row r="64" spans="1:13" hidden="1">
      <c r="A64" s="67">
        <v>49101</v>
      </c>
      <c r="B64" s="58" t="s">
        <v>93</v>
      </c>
      <c r="C64" s="52">
        <f>+'balance 2022 inicial los andes '!C63</f>
        <v>0</v>
      </c>
      <c r="D64" s="52">
        <f>+'balance 2022 inicial los andes '!D63</f>
        <v>0</v>
      </c>
      <c r="E64" s="52">
        <f t="shared" si="5"/>
        <v>0</v>
      </c>
      <c r="F64" s="52">
        <f t="shared" si="6"/>
        <v>0</v>
      </c>
      <c r="G64" s="52"/>
      <c r="H64" s="52"/>
      <c r="I64" s="52">
        <f t="shared" si="7"/>
        <v>0</v>
      </c>
      <c r="J64" s="52">
        <f t="shared" si="8"/>
        <v>0</v>
      </c>
    </row>
    <row r="65" spans="1:10" hidden="1">
      <c r="A65" s="67">
        <v>49120</v>
      </c>
      <c r="B65" s="58" t="s">
        <v>97</v>
      </c>
      <c r="C65" s="52">
        <f>+'balance 2022 inicial los andes '!C64</f>
        <v>0</v>
      </c>
      <c r="D65" s="52">
        <f>+'balance 2022 inicial los andes '!D64</f>
        <v>0</v>
      </c>
      <c r="E65" s="52">
        <f t="shared" si="5"/>
        <v>0</v>
      </c>
      <c r="F65" s="52">
        <f t="shared" si="6"/>
        <v>0</v>
      </c>
      <c r="G65" s="52"/>
      <c r="H65" s="52"/>
      <c r="I65" s="52">
        <f t="shared" si="7"/>
        <v>0</v>
      </c>
      <c r="J65" s="52">
        <f t="shared" si="8"/>
        <v>0</v>
      </c>
    </row>
    <row r="66" spans="1:10">
      <c r="A66" s="67">
        <v>50001</v>
      </c>
      <c r="B66" s="58" t="s">
        <v>75</v>
      </c>
      <c r="C66" s="52">
        <f>+'balance 2022 inicial los andes '!C65</f>
        <v>0</v>
      </c>
      <c r="D66" s="52">
        <f>+'balance 2022 inicial los andes '!D65</f>
        <v>3567000</v>
      </c>
      <c r="E66" s="52">
        <f t="shared" si="5"/>
        <v>0</v>
      </c>
      <c r="F66" s="52">
        <f t="shared" si="6"/>
        <v>3567000</v>
      </c>
      <c r="G66" s="52"/>
      <c r="H66" s="52"/>
      <c r="I66" s="52">
        <f t="shared" si="7"/>
        <v>0</v>
      </c>
      <c r="J66" s="52">
        <f t="shared" si="8"/>
        <v>3567000</v>
      </c>
    </row>
    <row r="67" spans="1:10">
      <c r="A67" s="67">
        <v>50051</v>
      </c>
      <c r="B67" s="58" t="s">
        <v>84</v>
      </c>
      <c r="C67" s="52">
        <f>+'balance 2022 inicial los andes '!C66</f>
        <v>0</v>
      </c>
      <c r="D67" s="52">
        <f>+'ajustes 2022'!F10</f>
        <v>280000</v>
      </c>
      <c r="E67" s="52">
        <f t="shared" si="5"/>
        <v>0</v>
      </c>
      <c r="F67" s="52">
        <f t="shared" si="6"/>
        <v>280000</v>
      </c>
      <c r="G67" s="52"/>
      <c r="H67" s="52"/>
      <c r="I67" s="52">
        <f t="shared" si="7"/>
        <v>0</v>
      </c>
      <c r="J67" s="52">
        <f t="shared" si="8"/>
        <v>280000</v>
      </c>
    </row>
    <row r="68" spans="1:10">
      <c r="A68" s="67">
        <v>51001</v>
      </c>
      <c r="B68" s="58" t="s">
        <v>76</v>
      </c>
      <c r="C68" s="52">
        <f>+'balance 2022 inicial los andes '!C67</f>
        <v>0</v>
      </c>
      <c r="D68" s="52">
        <f>+'balance 2022 inicial los andes '!D67</f>
        <v>950000000</v>
      </c>
      <c r="E68" s="52">
        <f t="shared" si="5"/>
        <v>0</v>
      </c>
      <c r="F68" s="52">
        <f t="shared" si="6"/>
        <v>950000000</v>
      </c>
      <c r="G68" s="52"/>
      <c r="H68" s="52"/>
      <c r="I68" s="52">
        <f t="shared" si="7"/>
        <v>0</v>
      </c>
      <c r="J68" s="52">
        <f t="shared" si="8"/>
        <v>950000000</v>
      </c>
    </row>
    <row r="69" spans="1:10" ht="15.75">
      <c r="A69" s="64"/>
      <c r="B69" s="60"/>
      <c r="C69" s="61">
        <f>SUM(C5:C68)</f>
        <v>3468627366.6666665</v>
      </c>
      <c r="D69" s="61">
        <f t="shared" ref="D69:J69" si="13">SUM(D5:D68)</f>
        <v>3468627366.666667</v>
      </c>
      <c r="E69" s="61">
        <f t="shared" si="13"/>
        <v>1545505966.6666667</v>
      </c>
      <c r="F69" s="61">
        <f t="shared" si="13"/>
        <v>1545505966.6666665</v>
      </c>
      <c r="G69" s="61">
        <f t="shared" si="13"/>
        <v>1164825800</v>
      </c>
      <c r="H69" s="61">
        <f t="shared" si="13"/>
        <v>591658966.66666663</v>
      </c>
      <c r="I69" s="61">
        <f t="shared" si="13"/>
        <v>380680166.66666669</v>
      </c>
      <c r="J69" s="61">
        <f t="shared" si="13"/>
        <v>953847000</v>
      </c>
    </row>
    <row r="70" spans="1:10" ht="15.75">
      <c r="A70" s="65"/>
      <c r="B70" s="62" t="s">
        <v>77</v>
      </c>
      <c r="C70" s="61"/>
      <c r="D70" s="61"/>
      <c r="E70" s="61"/>
      <c r="F70" s="61"/>
      <c r="G70" s="61"/>
      <c r="H70" s="61">
        <f>+G69-H69</f>
        <v>573166833.33333337</v>
      </c>
      <c r="I70" s="61">
        <f>+J69-I69</f>
        <v>573166833.33333325</v>
      </c>
      <c r="J70" s="61"/>
    </row>
    <row r="71" spans="1:10">
      <c r="A71" s="65"/>
      <c r="B71" s="58" t="s">
        <v>0</v>
      </c>
      <c r="C71" s="59">
        <f>C69</f>
        <v>3468627366.6666665</v>
      </c>
      <c r="D71" s="59">
        <f t="shared" ref="D71:F71" si="14">D69</f>
        <v>3468627366.666667</v>
      </c>
      <c r="E71" s="59">
        <f t="shared" si="14"/>
        <v>1545505966.6666667</v>
      </c>
      <c r="F71" s="59">
        <f t="shared" si="14"/>
        <v>1545505966.6666665</v>
      </c>
      <c r="G71" s="59">
        <f>SUM(G69:G70)</f>
        <v>1164825800</v>
      </c>
      <c r="H71" s="59">
        <f t="shared" ref="H71:J71" si="15">SUM(H69:H70)</f>
        <v>1164825800</v>
      </c>
      <c r="I71" s="59">
        <f t="shared" si="15"/>
        <v>953847000</v>
      </c>
      <c r="J71" s="59">
        <f t="shared" si="15"/>
        <v>953847000</v>
      </c>
    </row>
    <row r="72" spans="1:10">
      <c r="D72" s="5">
        <f>+C71-D71</f>
        <v>0</v>
      </c>
      <c r="E72" s="5"/>
      <c r="F72" s="5"/>
      <c r="H72" s="5"/>
      <c r="I72" s="5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E30" sqref="E30"/>
    </sheetView>
  </sheetViews>
  <sheetFormatPr baseColWidth="10" defaultRowHeight="15"/>
  <cols>
    <col min="4" max="4" width="23.5703125" customWidth="1"/>
    <col min="5" max="5" width="13.7109375" bestFit="1" customWidth="1"/>
    <col min="6" max="6" width="13" bestFit="1" customWidth="1"/>
  </cols>
  <sheetData>
    <row r="2" spans="2:6">
      <c r="C2" s="53"/>
      <c r="D2" s="53"/>
      <c r="E2" s="110"/>
      <c r="F2" s="110"/>
    </row>
    <row r="3" spans="2:6">
      <c r="B3" t="s">
        <v>139</v>
      </c>
      <c r="C3" s="53" t="s">
        <v>140</v>
      </c>
      <c r="D3" s="53"/>
      <c r="E3" s="110">
        <v>60000000</v>
      </c>
      <c r="F3" s="110"/>
    </row>
    <row r="4" spans="2:6">
      <c r="C4" s="53"/>
      <c r="D4" s="53" t="s">
        <v>141</v>
      </c>
      <c r="E4" s="110"/>
      <c r="F4" s="110">
        <f>+E3</f>
        <v>60000000</v>
      </c>
    </row>
    <row r="5" spans="2:6">
      <c r="C5" s="53"/>
      <c r="D5" s="53"/>
      <c r="E5" s="110"/>
      <c r="F5" s="110"/>
    </row>
    <row r="6" spans="2:6">
      <c r="B6" t="s">
        <v>228</v>
      </c>
      <c r="C6" s="53" t="s">
        <v>229</v>
      </c>
      <c r="D6" s="53"/>
      <c r="E6" s="110">
        <v>0</v>
      </c>
      <c r="F6" s="110"/>
    </row>
    <row r="7" spans="2:6">
      <c r="C7" s="53"/>
      <c r="D7" s="53" t="str">
        <f>+C3</f>
        <v>acciones suscritas</v>
      </c>
      <c r="E7" s="110"/>
      <c r="F7" s="110">
        <f>+E6</f>
        <v>0</v>
      </c>
    </row>
    <row r="8" spans="2:6">
      <c r="C8" s="53"/>
      <c r="D8" s="53"/>
      <c r="E8" s="110"/>
      <c r="F8" s="110"/>
    </row>
    <row r="9" spans="2:6">
      <c r="B9" t="s">
        <v>404</v>
      </c>
      <c r="C9" s="53" t="s">
        <v>142</v>
      </c>
      <c r="D9" s="53"/>
      <c r="E9" s="110">
        <v>280000</v>
      </c>
      <c r="F9" s="110"/>
    </row>
    <row r="10" spans="2:6">
      <c r="C10" s="53"/>
      <c r="D10" s="53" t="s">
        <v>152</v>
      </c>
      <c r="E10" s="110"/>
      <c r="F10" s="110">
        <f>+E9</f>
        <v>280000</v>
      </c>
    </row>
    <row r="11" spans="2:6">
      <c r="C11" s="53"/>
      <c r="D11" s="53"/>
      <c r="E11" s="110"/>
      <c r="F11" s="110"/>
    </row>
    <row r="12" spans="2:6">
      <c r="B12" t="s">
        <v>230</v>
      </c>
      <c r="C12" s="53" t="s">
        <v>143</v>
      </c>
      <c r="D12" s="53"/>
      <c r="E12" s="110">
        <f>+'activo no corriente 2022 '!F54</f>
        <v>320000000</v>
      </c>
      <c r="F12" s="110"/>
    </row>
    <row r="13" spans="2:6">
      <c r="C13" s="53"/>
      <c r="D13" s="53" t="s">
        <v>144</v>
      </c>
      <c r="E13" s="110"/>
      <c r="F13" s="110">
        <f>+E12</f>
        <v>320000000</v>
      </c>
    </row>
    <row r="14" spans="2:6">
      <c r="C14" s="53"/>
      <c r="D14" s="53"/>
      <c r="E14" s="110"/>
      <c r="F14" s="110"/>
    </row>
    <row r="15" spans="2:6">
      <c r="B15" t="s">
        <v>231</v>
      </c>
      <c r="C15" s="53" t="s">
        <v>145</v>
      </c>
      <c r="D15" s="53"/>
      <c r="E15" s="110">
        <f>+'activo no corriente 2022 '!I44+'activo no corriente 2022 '!I16</f>
        <v>5166666.666666666</v>
      </c>
      <c r="F15" s="110"/>
    </row>
    <row r="16" spans="2:6">
      <c r="C16" s="53"/>
      <c r="D16" s="53" t="s">
        <v>146</v>
      </c>
      <c r="E16" s="110"/>
      <c r="F16" s="110">
        <f>+E15</f>
        <v>5166666.666666666</v>
      </c>
    </row>
    <row r="17" spans="2:6">
      <c r="C17" s="53"/>
      <c r="D17" s="53"/>
      <c r="E17" s="110"/>
      <c r="F17" s="110"/>
    </row>
    <row r="18" spans="2:6">
      <c r="B18" t="s">
        <v>232</v>
      </c>
      <c r="C18" s="53" t="s">
        <v>147</v>
      </c>
      <c r="D18" s="53"/>
      <c r="E18" s="110">
        <f>180500000-16188000</f>
        <v>164312000</v>
      </c>
      <c r="F18" s="110"/>
    </row>
    <row r="19" spans="2:6">
      <c r="C19" s="53"/>
      <c r="D19" s="53" t="s">
        <v>148</v>
      </c>
      <c r="E19" s="110"/>
      <c r="F19" s="110">
        <f>132050000-11685000</f>
        <v>120365000</v>
      </c>
    </row>
    <row r="20" spans="2:6">
      <c r="C20" t="s">
        <v>149</v>
      </c>
      <c r="D20" s="53"/>
      <c r="E20" s="110">
        <f>4500000-110000</f>
        <v>4390000</v>
      </c>
      <c r="F20" s="110"/>
    </row>
    <row r="21" spans="2:6">
      <c r="D21" t="s">
        <v>150</v>
      </c>
      <c r="F21" s="111">
        <f>+E18+E20-F19</f>
        <v>48337000</v>
      </c>
    </row>
    <row r="23" spans="2:6">
      <c r="B23" t="s">
        <v>233</v>
      </c>
      <c r="C23" t="s">
        <v>142</v>
      </c>
      <c r="E23" s="110">
        <v>2556000</v>
      </c>
      <c r="F23" s="110"/>
    </row>
    <row r="24" spans="2:6">
      <c r="D24" t="s">
        <v>151</v>
      </c>
      <c r="E24" s="110"/>
      <c r="F24" s="110">
        <f>+E23</f>
        <v>2556000</v>
      </c>
    </row>
    <row r="25" spans="2:6">
      <c r="E25" s="110"/>
      <c r="F25" s="110"/>
    </row>
    <row r="26" spans="2:6">
      <c r="B26" t="s">
        <v>234</v>
      </c>
      <c r="C26" t="s">
        <v>153</v>
      </c>
      <c r="E26" s="110">
        <v>100000000</v>
      </c>
      <c r="F26" s="110"/>
    </row>
    <row r="27" spans="2:6">
      <c r="C27" t="s">
        <v>154</v>
      </c>
      <c r="E27" s="110">
        <f>50000000-37500000</f>
        <v>12500000</v>
      </c>
      <c r="F27" s="110"/>
    </row>
    <row r="28" spans="2:6">
      <c r="D28" t="s">
        <v>155</v>
      </c>
      <c r="E28" s="110"/>
      <c r="F28" s="110">
        <f>+E26+E27</f>
        <v>112500000</v>
      </c>
    </row>
    <row r="29" spans="2:6">
      <c r="E29" s="110"/>
      <c r="F29" s="110"/>
    </row>
    <row r="30" spans="2:6">
      <c r="B30" t="s">
        <v>185</v>
      </c>
      <c r="C30" t="s">
        <v>183</v>
      </c>
      <c r="E30" s="110">
        <f>+'provision vacaciones dos años '!G23</f>
        <v>950499.99999999988</v>
      </c>
      <c r="F30" s="110"/>
    </row>
    <row r="31" spans="2:6">
      <c r="D31" t="s">
        <v>184</v>
      </c>
      <c r="E31" s="110"/>
      <c r="F31" s="110">
        <f>+E30</f>
        <v>950499.99999999988</v>
      </c>
    </row>
    <row r="32" spans="2:6">
      <c r="E32" s="110"/>
      <c r="F32" s="110"/>
    </row>
    <row r="33" spans="2:6">
      <c r="B33" t="s">
        <v>235</v>
      </c>
      <c r="C33" t="s">
        <v>186</v>
      </c>
      <c r="E33" s="110">
        <v>7865000</v>
      </c>
      <c r="F33" s="110"/>
    </row>
    <row r="34" spans="2:6">
      <c r="D34" t="s">
        <v>187</v>
      </c>
      <c r="F34" s="111">
        <f>+E33</f>
        <v>7865000</v>
      </c>
    </row>
    <row r="36" spans="2:6">
      <c r="B36" s="713" t="s">
        <v>236</v>
      </c>
      <c r="C36" s="713" t="s">
        <v>195</v>
      </c>
      <c r="D36" s="713"/>
      <c r="E36" s="714">
        <f>+'impuesto diferido'!H39</f>
        <v>0</v>
      </c>
      <c r="F36" s="713"/>
    </row>
    <row r="37" spans="2:6">
      <c r="B37" s="713"/>
      <c r="C37" s="713" t="s">
        <v>196</v>
      </c>
      <c r="D37" s="713"/>
      <c r="E37" s="715"/>
      <c r="F37" s="714">
        <f>+E36</f>
        <v>0</v>
      </c>
    </row>
    <row r="38" spans="2:6">
      <c r="B38" s="713"/>
      <c r="C38" s="713"/>
      <c r="D38" s="713" t="s">
        <v>197</v>
      </c>
      <c r="E38" s="713"/>
      <c r="F38" s="7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opLeftCell="A37" zoomScale="93" zoomScaleNormal="93" workbookViewId="0">
      <selection activeCell="E33" sqref="E3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customWidth="1"/>
    <col min="5" max="6" width="17.140625" style="283" customWidth="1"/>
    <col min="7" max="7" width="17.85546875" style="283" customWidth="1"/>
    <col min="8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412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950000000</v>
      </c>
      <c r="E5" s="296">
        <f>SUM(E6:E8)</f>
        <v>120168067.22689076</v>
      </c>
      <c r="F5" s="298">
        <f>SUM(F6:F8)</f>
        <v>0</v>
      </c>
      <c r="G5" s="299">
        <f>SUM(G6:G8)</f>
        <v>829831932.7731092</v>
      </c>
    </row>
    <row r="6" spans="1:7">
      <c r="A6" s="284"/>
      <c r="B6" s="300" t="s">
        <v>423</v>
      </c>
      <c r="C6" s="301" t="s">
        <v>424</v>
      </c>
      <c r="D6" s="302">
        <f>+'balance 2022 antes impto andes'!J68</f>
        <v>950000000</v>
      </c>
      <c r="E6" s="303">
        <f>+'balance 2022 antes impto andes'!G8/1.19</f>
        <v>120168067.22689076</v>
      </c>
      <c r="F6" s="304"/>
      <c r="G6" s="305">
        <f>+D6-E6</f>
        <v>829831932.7731092</v>
      </c>
    </row>
    <row r="7" spans="1:7">
      <c r="A7" s="284"/>
      <c r="B7" s="300" t="s">
        <v>425</v>
      </c>
      <c r="C7" s="301" t="s">
        <v>424</v>
      </c>
      <c r="D7" s="302"/>
      <c r="E7" s="303"/>
      <c r="F7" s="304"/>
      <c r="G7" s="305">
        <f>+D7-E7</f>
        <v>0</v>
      </c>
    </row>
    <row r="8" spans="1:7" ht="15.75" thickBot="1">
      <c r="A8" s="284"/>
      <c r="B8" s="306" t="s">
        <v>426</v>
      </c>
      <c r="C8" s="307" t="s">
        <v>424</v>
      </c>
      <c r="D8" s="308"/>
      <c r="E8" s="309"/>
      <c r="F8" s="310"/>
      <c r="G8" s="311">
        <f>+F8</f>
        <v>0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17"/>
    </row>
    <row r="10" spans="1:7">
      <c r="A10" s="284"/>
      <c r="B10" s="318" t="s">
        <v>428</v>
      </c>
      <c r="C10" s="301" t="s">
        <v>424</v>
      </c>
      <c r="D10" s="302">
        <f>+'balance 2022 antes impto andes'!J66</f>
        <v>3567000</v>
      </c>
      <c r="E10" s="319"/>
      <c r="F10" s="320"/>
      <c r="G10" s="321">
        <f>+D10</f>
        <v>3567000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25">
        <f>+F11</f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0">SUM(E13:E14)</f>
        <v>0</v>
      </c>
      <c r="F12" s="298">
        <f t="shared" si="0"/>
        <v>0</v>
      </c>
      <c r="G12" s="299">
        <f t="shared" si="0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21">
        <f>+D13</f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27"/>
    </row>
    <row r="15" spans="1:7">
      <c r="A15" s="284"/>
      <c r="B15" s="295" t="s">
        <v>433</v>
      </c>
      <c r="C15" s="328" t="s">
        <v>422</v>
      </c>
      <c r="D15" s="297">
        <f>SUM(D16:D26)</f>
        <v>280000</v>
      </c>
      <c r="E15" s="296">
        <f t="shared" ref="E15:F15" si="1">SUM(E16:E26)</f>
        <v>0</v>
      </c>
      <c r="F15" s="298">
        <f t="shared" si="1"/>
        <v>0</v>
      </c>
      <c r="G15" s="299">
        <f>SUM(G16:G26)</f>
        <v>280000</v>
      </c>
    </row>
    <row r="16" spans="1:7">
      <c r="A16" s="284"/>
      <c r="B16" s="329" t="s">
        <v>434</v>
      </c>
      <c r="C16" s="301" t="s">
        <v>424</v>
      </c>
      <c r="D16" s="330"/>
      <c r="E16" s="313"/>
      <c r="F16" s="331"/>
      <c r="G16" s="332"/>
    </row>
    <row r="17" spans="1:8">
      <c r="A17" s="284"/>
      <c r="B17" s="329" t="s">
        <v>342</v>
      </c>
      <c r="C17" s="301" t="s">
        <v>424</v>
      </c>
      <c r="D17" s="330"/>
      <c r="E17" s="313"/>
      <c r="F17" s="333"/>
      <c r="G17" s="332">
        <f>+D17</f>
        <v>0</v>
      </c>
    </row>
    <row r="18" spans="1:8">
      <c r="A18" s="284"/>
      <c r="B18" s="334" t="s">
        <v>435</v>
      </c>
      <c r="C18" s="301" t="s">
        <v>424</v>
      </c>
      <c r="D18" s="330"/>
      <c r="E18" s="333"/>
      <c r="F18" s="333"/>
      <c r="G18" s="335"/>
    </row>
    <row r="19" spans="1:8">
      <c r="A19" s="284"/>
      <c r="B19" s="336" t="s">
        <v>436</v>
      </c>
      <c r="C19" s="301" t="s">
        <v>424</v>
      </c>
      <c r="D19" s="330">
        <f>+'balance 2022 antes impto andes'!J67</f>
        <v>280000</v>
      </c>
      <c r="E19" s="333"/>
      <c r="F19" s="333"/>
      <c r="G19" s="335">
        <f>+D19</f>
        <v>280000</v>
      </c>
    </row>
    <row r="20" spans="1:8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37"/>
    </row>
    <row r="21" spans="1:8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37"/>
    </row>
    <row r="22" spans="1:8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37"/>
    </row>
    <row r="23" spans="1:8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37"/>
    </row>
    <row r="24" spans="1:8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41"/>
    </row>
    <row r="25" spans="1:8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41"/>
    </row>
    <row r="26" spans="1:8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27"/>
    </row>
    <row r="27" spans="1:8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17"/>
    </row>
    <row r="28" spans="1:8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27"/>
    </row>
    <row r="29" spans="1:8" ht="15.75" thickBot="1">
      <c r="A29" s="284"/>
      <c r="B29" s="350" t="s">
        <v>446</v>
      </c>
      <c r="C29" s="351" t="s">
        <v>422</v>
      </c>
      <c r="D29" s="352">
        <f>+D5+D9+D10+D11+D12+D15+D27+D28</f>
        <v>953847000</v>
      </c>
      <c r="E29" s="351">
        <f>+E5+E9+E10+E11+E12+E15+E27+E28</f>
        <v>120168067.22689076</v>
      </c>
      <c r="F29" s="351">
        <f>+F5+F9+F10+F11+F12+F15+F27+F28</f>
        <v>0</v>
      </c>
      <c r="G29" s="353">
        <f>+G5+G9+G10+G11+G12+G15+G27+G28</f>
        <v>833678932.7731092</v>
      </c>
    </row>
    <row r="30" spans="1:8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55">
        <f>+F30</f>
        <v>0</v>
      </c>
      <c r="H30"/>
    </row>
    <row r="31" spans="1:8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58">
        <f>+F31</f>
        <v>0</v>
      </c>
      <c r="H31"/>
    </row>
    <row r="32" spans="1:8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59"/>
    </row>
    <row r="33" spans="1:8" ht="15" customHeight="1">
      <c r="A33" s="284"/>
      <c r="B33" s="356" t="s">
        <v>451</v>
      </c>
      <c r="C33" s="357" t="s">
        <v>448</v>
      </c>
      <c r="D33" s="330"/>
      <c r="E33" s="333">
        <f>+'balance 2022 antes impto andes'!H30/1.19</f>
        <v>157487394.9579832</v>
      </c>
      <c r="F33" s="360">
        <f>+'balance 2022 antes impto andes'!C10</f>
        <v>695000000</v>
      </c>
      <c r="G33" s="358">
        <f>+F33-E33</f>
        <v>537512605.04201674</v>
      </c>
      <c r="H33"/>
    </row>
    <row r="34" spans="1:8" ht="15" customHeight="1">
      <c r="A34" s="284"/>
      <c r="B34" s="356" t="s">
        <v>452</v>
      </c>
      <c r="C34" s="357" t="s">
        <v>448</v>
      </c>
      <c r="D34" s="330"/>
      <c r="E34" s="333"/>
      <c r="F34" s="333"/>
      <c r="G34" s="359"/>
      <c r="H34"/>
    </row>
    <row r="35" spans="1:8">
      <c r="A35" s="284"/>
      <c r="B35" s="356" t="s">
        <v>453</v>
      </c>
      <c r="C35" s="357" t="s">
        <v>448</v>
      </c>
      <c r="D35" s="330">
        <f>+'balance 2022 antes impto andes'!I47+'balance 2022 antes impto andes'!I48</f>
        <v>25830000</v>
      </c>
      <c r="E35" s="333">
        <f>+'balance 2022 antes impto andes'!H33</f>
        <v>634800</v>
      </c>
      <c r="F35" s="361"/>
      <c r="G35" s="358">
        <f>+F35+D35-E35</f>
        <v>25195200</v>
      </c>
      <c r="H35"/>
    </row>
    <row r="36" spans="1:8">
      <c r="A36" s="284"/>
      <c r="B36" s="356" t="s">
        <v>454</v>
      </c>
      <c r="C36" s="357" t="s">
        <v>448</v>
      </c>
      <c r="D36" s="330">
        <f>+'balance 2022 antes impto andes'!I50</f>
        <v>12345000</v>
      </c>
      <c r="E36" s="333">
        <f>+'balance 2022 antes impto andes'!H34</f>
        <v>110000</v>
      </c>
      <c r="F36" s="361"/>
      <c r="G36" s="358">
        <f>+F36+D36-E36</f>
        <v>12235000</v>
      </c>
      <c r="H36"/>
    </row>
    <row r="37" spans="1:8">
      <c r="A37" s="284"/>
      <c r="B37" s="356" t="s">
        <v>455</v>
      </c>
      <c r="C37" s="357" t="s">
        <v>448</v>
      </c>
      <c r="D37" s="330"/>
      <c r="E37" s="333"/>
      <c r="F37" s="333">
        <f>+'balance 2022 inicial los andes '!G16+'balance 2022 inicial los andes '!G17+'balance 2022 inicial los andes '!G19</f>
        <v>261760000</v>
      </c>
      <c r="G37" s="358">
        <f>+F37</f>
        <v>261760000</v>
      </c>
      <c r="H37"/>
    </row>
    <row r="38" spans="1:8">
      <c r="A38" s="284"/>
      <c r="B38" s="356" t="s">
        <v>456</v>
      </c>
      <c r="C38" s="357" t="s">
        <v>448</v>
      </c>
      <c r="D38" s="330"/>
      <c r="E38" s="333"/>
      <c r="F38" s="333"/>
      <c r="G38" s="358">
        <f>+F38</f>
        <v>0</v>
      </c>
      <c r="H38"/>
    </row>
    <row r="39" spans="1:8">
      <c r="A39" s="284"/>
      <c r="B39" s="356" t="s">
        <v>457</v>
      </c>
      <c r="C39" s="357" t="s">
        <v>448</v>
      </c>
      <c r="D39" s="339"/>
      <c r="E39" s="333"/>
      <c r="F39" s="333"/>
      <c r="G39" s="359"/>
      <c r="H39"/>
    </row>
    <row r="40" spans="1:8">
      <c r="A40" s="284"/>
      <c r="B40" s="362" t="s">
        <v>458</v>
      </c>
      <c r="C40" s="357" t="s">
        <v>448</v>
      </c>
      <c r="D40" s="339"/>
      <c r="E40" s="333"/>
      <c r="F40" s="333"/>
      <c r="G40" s="359"/>
      <c r="H40"/>
    </row>
    <row r="41" spans="1:8" ht="15" customHeight="1">
      <c r="A41" s="284"/>
      <c r="B41" s="362" t="s">
        <v>459</v>
      </c>
      <c r="C41" s="357" t="s">
        <v>448</v>
      </c>
      <c r="D41" s="330"/>
      <c r="E41" s="333"/>
      <c r="F41" s="333"/>
      <c r="G41" s="359"/>
    </row>
    <row r="42" spans="1:8" ht="15" customHeight="1">
      <c r="A42" s="284"/>
      <c r="B42" s="362" t="s">
        <v>460</v>
      </c>
      <c r="C42" s="357" t="s">
        <v>448</v>
      </c>
      <c r="D42" s="330"/>
      <c r="E42" s="333"/>
      <c r="F42" s="333"/>
      <c r="G42" s="359"/>
    </row>
    <row r="43" spans="1:8" ht="15" customHeight="1">
      <c r="A43" s="284"/>
      <c r="B43" s="362" t="s">
        <v>461</v>
      </c>
      <c r="C43" s="357" t="s">
        <v>448</v>
      </c>
      <c r="D43" s="330"/>
      <c r="E43" s="333"/>
      <c r="F43" s="333"/>
      <c r="G43" s="359"/>
    </row>
    <row r="44" spans="1:8" ht="15" customHeight="1">
      <c r="A44" s="284"/>
      <c r="B44" s="362" t="s">
        <v>462</v>
      </c>
      <c r="C44" s="357" t="s">
        <v>448</v>
      </c>
      <c r="D44" s="330"/>
      <c r="E44" s="333"/>
      <c r="F44" s="333"/>
      <c r="G44" s="359"/>
    </row>
    <row r="45" spans="1:8">
      <c r="A45" s="284"/>
      <c r="B45" s="363" t="s">
        <v>463</v>
      </c>
      <c r="C45" s="357" t="s">
        <v>448</v>
      </c>
      <c r="D45" s="330"/>
      <c r="E45" s="333"/>
      <c r="F45" s="333"/>
      <c r="G45" s="358">
        <f>+D45</f>
        <v>0</v>
      </c>
    </row>
    <row r="46" spans="1:8">
      <c r="A46" s="284"/>
      <c r="B46" s="363" t="s">
        <v>464</v>
      </c>
      <c r="C46" s="357" t="s">
        <v>448</v>
      </c>
      <c r="D46" s="330"/>
      <c r="E46" s="333"/>
      <c r="F46" s="333"/>
      <c r="G46" s="358">
        <f t="shared" ref="G46:G47" si="2">+D46</f>
        <v>0</v>
      </c>
    </row>
    <row r="47" spans="1:8" ht="15" customHeight="1">
      <c r="A47" s="284"/>
      <c r="B47" s="363" t="s">
        <v>465</v>
      </c>
      <c r="C47" s="357" t="s">
        <v>448</v>
      </c>
      <c r="D47" s="330">
        <f>+'balance 2022 antes impto andes'!I53</f>
        <v>1980000</v>
      </c>
      <c r="E47" s="333"/>
      <c r="F47" s="333"/>
      <c r="G47" s="358">
        <f t="shared" si="2"/>
        <v>1980000</v>
      </c>
    </row>
    <row r="48" spans="1:8" ht="15" customHeight="1">
      <c r="A48" s="284"/>
      <c r="B48" s="363" t="s">
        <v>466</v>
      </c>
      <c r="C48" s="357" t="s">
        <v>448</v>
      </c>
      <c r="D48" s="330">
        <f>+'balance 2022 antes impto andes'!I56</f>
        <v>4000000</v>
      </c>
      <c r="E48" s="333"/>
      <c r="F48" s="333"/>
      <c r="G48" s="358">
        <f>+D48</f>
        <v>4000000</v>
      </c>
    </row>
    <row r="49" spans="1:9" ht="15" customHeight="1">
      <c r="A49" s="284"/>
      <c r="B49" s="362" t="s">
        <v>467</v>
      </c>
      <c r="C49" s="357" t="s">
        <v>448</v>
      </c>
      <c r="D49" s="330"/>
      <c r="E49" s="333"/>
      <c r="F49" s="333"/>
      <c r="G49" s="358">
        <f t="shared" ref="G49" si="3">+F49</f>
        <v>0</v>
      </c>
    </row>
    <row r="50" spans="1:9">
      <c r="A50" s="284"/>
      <c r="B50" s="362" t="s">
        <v>468</v>
      </c>
      <c r="C50" s="357" t="s">
        <v>448</v>
      </c>
      <c r="D50" s="330">
        <f>+'balance 2022 antes impto andes'!I55</f>
        <v>2543000</v>
      </c>
      <c r="E50" s="333"/>
      <c r="F50" s="361"/>
      <c r="G50" s="358">
        <f>+F50+D50-E50</f>
        <v>2543000</v>
      </c>
    </row>
    <row r="51" spans="1:9" ht="15" customHeight="1">
      <c r="A51" s="284"/>
      <c r="B51" s="362" t="s">
        <v>469</v>
      </c>
      <c r="C51" s="357" t="s">
        <v>448</v>
      </c>
      <c r="D51" s="330"/>
      <c r="E51" s="333"/>
      <c r="F51" s="333"/>
      <c r="G51" s="359"/>
    </row>
    <row r="52" spans="1:9">
      <c r="A52" s="284"/>
      <c r="B52" s="362" t="s">
        <v>470</v>
      </c>
      <c r="C52" s="357" t="s">
        <v>448</v>
      </c>
      <c r="D52" s="330"/>
      <c r="E52" s="333"/>
      <c r="F52" s="333"/>
      <c r="G52" s="358"/>
    </row>
    <row r="53" spans="1:9" ht="16.5" customHeight="1">
      <c r="A53" s="284"/>
      <c r="B53" s="356" t="s">
        <v>471</v>
      </c>
      <c r="C53" s="357" t="s">
        <v>448</v>
      </c>
      <c r="D53" s="330"/>
      <c r="E53" s="333"/>
      <c r="F53" s="333"/>
      <c r="G53" s="359"/>
    </row>
    <row r="54" spans="1:9">
      <c r="A54" s="284"/>
      <c r="B54" s="356" t="s">
        <v>472</v>
      </c>
      <c r="C54" s="357" t="s">
        <v>448</v>
      </c>
      <c r="D54" s="330"/>
      <c r="E54" s="333"/>
      <c r="F54" s="333"/>
      <c r="G54" s="359"/>
    </row>
    <row r="55" spans="1:9">
      <c r="A55" s="284"/>
      <c r="B55" s="356" t="s">
        <v>473</v>
      </c>
      <c r="C55" s="364"/>
      <c r="D55" s="330"/>
      <c r="E55" s="333"/>
      <c r="F55" s="333"/>
      <c r="G55" s="359"/>
    </row>
    <row r="56" spans="1:9" ht="15" customHeight="1">
      <c r="A56" s="284"/>
      <c r="B56" s="334" t="s">
        <v>474</v>
      </c>
      <c r="C56" s="357" t="s">
        <v>448</v>
      </c>
      <c r="D56" s="330">
        <f>+'balance 2022 antes impto andes'!I63</f>
        <v>5166666.666666666</v>
      </c>
      <c r="E56" s="333"/>
      <c r="F56" s="333"/>
      <c r="G56" s="359"/>
    </row>
    <row r="57" spans="1:9" ht="15" customHeight="1">
      <c r="A57" s="284"/>
      <c r="B57" s="334" t="s">
        <v>475</v>
      </c>
      <c r="C57" s="357" t="s">
        <v>448</v>
      </c>
      <c r="D57" s="330">
        <f>+'balance 2022 antes impto andes'!I46</f>
        <v>320000000</v>
      </c>
      <c r="E57" s="333"/>
      <c r="F57" s="333"/>
      <c r="G57" s="365"/>
    </row>
    <row r="58" spans="1:9" ht="15" customHeight="1">
      <c r="A58" s="284"/>
      <c r="B58" s="334" t="str">
        <f>+'balance 2022 antes impto andes'!B57</f>
        <v>GASTOS DEUDORES INCOBRABLES</v>
      </c>
      <c r="C58" s="357" t="s">
        <v>448</v>
      </c>
      <c r="D58" s="330">
        <f>+'balance 2022 antes impto andes'!I57</f>
        <v>7865000</v>
      </c>
      <c r="E58" s="333"/>
      <c r="F58" s="333"/>
      <c r="G58" s="366"/>
    </row>
    <row r="59" spans="1:9" ht="15" customHeight="1">
      <c r="A59" s="284"/>
      <c r="B59" s="334" t="str">
        <f>+'balance 2022 antes impto andes'!B49</f>
        <v xml:space="preserve">GASTO POR VACACIONES DEL PERSONAL </v>
      </c>
      <c r="C59" s="357" t="s">
        <v>448</v>
      </c>
      <c r="D59" s="330">
        <f>+'balance 2022 antes impto andes'!I49</f>
        <v>950499.99999999988</v>
      </c>
      <c r="E59" s="333"/>
      <c r="F59" s="333"/>
      <c r="G59" s="365"/>
    </row>
    <row r="60" spans="1:9" ht="15" customHeight="1">
      <c r="A60" s="284"/>
      <c r="B60" s="334" t="s">
        <v>476</v>
      </c>
      <c r="C60" s="357" t="s">
        <v>448</v>
      </c>
      <c r="D60" s="330"/>
      <c r="E60" s="333"/>
      <c r="F60" s="333"/>
      <c r="G60" s="365"/>
    </row>
    <row r="61" spans="1:9" ht="15" customHeight="1" thickBot="1">
      <c r="A61" s="284"/>
      <c r="B61" s="336" t="s">
        <v>476</v>
      </c>
      <c r="C61" s="367" t="s">
        <v>448</v>
      </c>
      <c r="D61" s="330"/>
      <c r="E61" s="333"/>
      <c r="F61" s="333"/>
      <c r="G61" s="365"/>
    </row>
    <row r="62" spans="1:9" ht="15.75" thickBot="1">
      <c r="A62" s="284"/>
      <c r="B62" s="368" t="s">
        <v>477</v>
      </c>
      <c r="C62" s="369" t="s">
        <v>422</v>
      </c>
      <c r="D62" s="370">
        <f>SUM(D30:D61)</f>
        <v>380680166.66666669</v>
      </c>
      <c r="E62" s="369">
        <f>SUM(E30:E61)</f>
        <v>158232194.9579832</v>
      </c>
      <c r="F62" s="371">
        <f>SUM(F30:F61)</f>
        <v>956760000</v>
      </c>
      <c r="G62" s="372">
        <f>SUM(G30:G61)</f>
        <v>845225805.04201674</v>
      </c>
      <c r="I62" s="373"/>
    </row>
    <row r="63" spans="1:9" ht="15.75" thickBot="1">
      <c r="A63" s="284"/>
      <c r="B63" s="368" t="s">
        <v>240</v>
      </c>
      <c r="C63" s="369" t="s">
        <v>422</v>
      </c>
      <c r="D63" s="370">
        <f>+D29-D62</f>
        <v>573166833.33333325</v>
      </c>
      <c r="E63" s="374"/>
      <c r="F63" s="374"/>
      <c r="G63" s="375"/>
      <c r="I63" s="373"/>
    </row>
    <row r="64" spans="1:9" ht="15.75" customHeight="1" thickBot="1">
      <c r="A64" s="284"/>
      <c r="B64" s="376" t="s">
        <v>478</v>
      </c>
      <c r="C64" s="377" t="s">
        <v>424</v>
      </c>
      <c r="D64" s="352"/>
      <c r="E64" s="374"/>
      <c r="F64" s="374"/>
      <c r="G64" s="372">
        <f>+G47+G48</f>
        <v>5980000</v>
      </c>
      <c r="I64" s="378"/>
    </row>
    <row r="65" spans="1:9" ht="15.75" customHeight="1" thickBot="1">
      <c r="A65" s="284"/>
      <c r="B65" s="379" t="s">
        <v>479</v>
      </c>
      <c r="C65" s="380" t="s">
        <v>422</v>
      </c>
      <c r="D65" s="381"/>
      <c r="E65" s="382"/>
      <c r="F65" s="382"/>
      <c r="G65" s="372">
        <f>+G29-G62+G64</f>
        <v>-5566872.268907547</v>
      </c>
      <c r="I65" s="373"/>
    </row>
    <row r="66" spans="1:9" ht="15.75" customHeight="1" thickBot="1">
      <c r="A66" s="284"/>
      <c r="B66" s="379" t="s">
        <v>480</v>
      </c>
      <c r="C66" s="383"/>
      <c r="D66" s="384"/>
      <c r="E66" s="385"/>
      <c r="F66" s="385"/>
      <c r="G66" s="372"/>
    </row>
    <row r="67" spans="1:9" ht="15.75" thickBot="1">
      <c r="A67" s="284"/>
      <c r="B67" s="346" t="s">
        <v>481</v>
      </c>
      <c r="C67" s="386" t="s">
        <v>448</v>
      </c>
      <c r="D67" s="387"/>
      <c r="E67" s="388"/>
      <c r="F67" s="388"/>
      <c r="G67" s="372"/>
    </row>
    <row r="68" spans="1:9" ht="15.75" customHeight="1" thickBot="1">
      <c r="A68" s="284"/>
      <c r="B68" s="322" t="s">
        <v>482</v>
      </c>
      <c r="C68" s="367" t="s">
        <v>448</v>
      </c>
      <c r="D68" s="389"/>
      <c r="E68" s="390"/>
      <c r="F68" s="390"/>
      <c r="G68" s="372"/>
    </row>
    <row r="69" spans="1:9" ht="15.75" customHeight="1" thickBot="1">
      <c r="A69" s="284"/>
      <c r="B69" s="391" t="s">
        <v>483</v>
      </c>
      <c r="C69" s="351" t="s">
        <v>422</v>
      </c>
      <c r="D69" s="352"/>
      <c r="E69" s="374"/>
      <c r="F69" s="374"/>
      <c r="G69" s="372">
        <f>+G65-G67-G68</f>
        <v>-5566872.268907547</v>
      </c>
    </row>
    <row r="70" spans="1:9" ht="15.75" customHeight="1" thickBot="1">
      <c r="A70" s="392"/>
      <c r="B70" s="393"/>
      <c r="C70" s="394"/>
      <c r="D70" s="395"/>
      <c r="E70" s="396"/>
      <c r="F70" s="396"/>
      <c r="G70" s="372"/>
    </row>
    <row r="71" spans="1:9" ht="15.75" thickBot="1">
      <c r="B71" s="397" t="s">
        <v>484</v>
      </c>
      <c r="C71" s="398"/>
      <c r="D71" s="399"/>
      <c r="E71" s="400"/>
      <c r="F71" s="400"/>
      <c r="G71" s="372"/>
    </row>
    <row r="72" spans="1:9" ht="15.75" thickBot="1">
      <c r="B72" s="356" t="s">
        <v>485</v>
      </c>
      <c r="C72" s="301" t="s">
        <v>424</v>
      </c>
      <c r="D72" s="401"/>
      <c r="E72" s="402"/>
      <c r="F72" s="402"/>
      <c r="G72" s="372"/>
    </row>
    <row r="73" spans="1:9" ht="15.75" thickBot="1">
      <c r="B73" s="322" t="s">
        <v>486</v>
      </c>
      <c r="C73" s="323" t="s">
        <v>424</v>
      </c>
      <c r="D73" s="403"/>
      <c r="E73" s="404"/>
      <c r="F73" s="404"/>
      <c r="G73" s="372"/>
    </row>
    <row r="74" spans="1:9" ht="15.75" thickBot="1">
      <c r="B74" s="391" t="s">
        <v>487</v>
      </c>
      <c r="C74" s="351" t="s">
        <v>422</v>
      </c>
      <c r="D74" s="352"/>
      <c r="E74" s="374"/>
      <c r="F74" s="374"/>
      <c r="G74" s="372"/>
    </row>
    <row r="75" spans="1:9" ht="15.75" thickBot="1">
      <c r="B75" s="279"/>
      <c r="C75" s="405"/>
      <c r="D75" s="352"/>
      <c r="E75" s="374"/>
      <c r="F75" s="374"/>
      <c r="G75" s="406"/>
    </row>
    <row r="76" spans="1:9" ht="15.75" thickBot="1">
      <c r="B76" s="397" t="s">
        <v>488</v>
      </c>
      <c r="C76" s="398"/>
      <c r="D76" s="352"/>
      <c r="E76" s="374"/>
      <c r="F76" s="374"/>
      <c r="G76" s="407"/>
    </row>
    <row r="77" spans="1:9" ht="15.75" thickBot="1">
      <c r="B77" s="363" t="s">
        <v>463</v>
      </c>
      <c r="C77" s="301" t="s">
        <v>424</v>
      </c>
      <c r="D77" s="352"/>
      <c r="E77" s="374"/>
      <c r="F77" s="374"/>
      <c r="G77" s="408">
        <f>+G45</f>
        <v>0</v>
      </c>
    </row>
    <row r="78" spans="1:9" ht="15.75" thickBot="1">
      <c r="B78" s="391" t="s">
        <v>489</v>
      </c>
      <c r="C78" s="351" t="s">
        <v>422</v>
      </c>
      <c r="D78" s="352"/>
      <c r="E78" s="374"/>
      <c r="F78" s="374"/>
      <c r="G78" s="409">
        <f t="shared" ref="G78" si="4">+G77</f>
        <v>0</v>
      </c>
    </row>
    <row r="80" spans="1:9">
      <c r="D80" s="410"/>
    </row>
    <row r="81" spans="4:7">
      <c r="D81" s="410"/>
      <c r="G81" s="411"/>
    </row>
    <row r="83" spans="4:7">
      <c r="D83" s="410"/>
      <c r="G83" s="411"/>
    </row>
    <row r="84" spans="4:7">
      <c r="D84" s="412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0"/>
  <sheetViews>
    <sheetView topLeftCell="A19" zoomScale="166" zoomScaleNormal="166" workbookViewId="0">
      <selection activeCell="G19" sqref="G19"/>
    </sheetView>
  </sheetViews>
  <sheetFormatPr baseColWidth="10" defaultRowHeight="15"/>
  <cols>
    <col min="7" max="7" width="13.7109375" bestFit="1" customWidth="1"/>
    <col min="8" max="8" width="15.28515625" bestFit="1" customWidth="1"/>
  </cols>
  <sheetData>
    <row r="3" spans="4:8">
      <c r="D3" s="9" t="s">
        <v>188</v>
      </c>
      <c r="G3" s="5"/>
      <c r="H3" s="5">
        <v>573166833.33333325</v>
      </c>
    </row>
    <row r="4" spans="4:8">
      <c r="D4" s="9" t="s">
        <v>189</v>
      </c>
    </row>
    <row r="5" spans="4:8">
      <c r="D5" s="4" t="s">
        <v>190</v>
      </c>
      <c r="E5" s="4"/>
      <c r="F5" s="4"/>
      <c r="G5" s="720">
        <f>+'balance 2022 antes impto andes'!E63</f>
        <v>5166666.666666666</v>
      </c>
    </row>
    <row r="6" spans="4:8">
      <c r="D6" s="4" t="s">
        <v>191</v>
      </c>
      <c r="E6" s="4"/>
      <c r="F6" s="4"/>
      <c r="G6" s="720">
        <f>+'balance 2022 antes impto andes'!I53</f>
        <v>1980000</v>
      </c>
    </row>
    <row r="7" spans="4:8">
      <c r="D7" s="4" t="s">
        <v>496</v>
      </c>
      <c r="E7" s="4"/>
      <c r="F7" s="4"/>
      <c r="G7" s="720">
        <f>+'balance 2022 antes impto andes'!I49</f>
        <v>950499.99999999988</v>
      </c>
    </row>
    <row r="8" spans="4:8">
      <c r="D8" s="4" t="s">
        <v>494</v>
      </c>
      <c r="E8" s="4"/>
      <c r="F8" s="4"/>
      <c r="G8" s="720">
        <f>+'base imponible  at 2023 los and'!E35</f>
        <v>634800</v>
      </c>
    </row>
    <row r="9" spans="4:8">
      <c r="D9" s="4" t="s">
        <v>495</v>
      </c>
      <c r="E9" s="4"/>
      <c r="F9" s="4"/>
      <c r="G9" s="720">
        <f>+'base imponible  at 2023 los and'!E36</f>
        <v>110000</v>
      </c>
    </row>
    <row r="10" spans="4:8">
      <c r="D10" s="4" t="s">
        <v>492</v>
      </c>
      <c r="E10" s="4"/>
      <c r="F10" s="4"/>
      <c r="G10" s="720">
        <f>+'base imponible  at 2023 los and'!E33</f>
        <v>157487394.9579832</v>
      </c>
    </row>
    <row r="11" spans="4:8">
      <c r="D11" s="4" t="s">
        <v>192</v>
      </c>
      <c r="E11" s="4"/>
      <c r="F11" s="4"/>
      <c r="G11" s="720">
        <f>+'balance 2022 antes impto andes'!I57</f>
        <v>7865000</v>
      </c>
    </row>
    <row r="12" spans="4:8">
      <c r="D12" s="4" t="s">
        <v>194</v>
      </c>
      <c r="E12" s="4"/>
      <c r="F12" s="4"/>
      <c r="G12" s="720">
        <f>+'balance 2022 antes impto andes'!I56</f>
        <v>4000000</v>
      </c>
    </row>
    <row r="13" spans="4:8">
      <c r="D13" s="4" t="s">
        <v>143</v>
      </c>
      <c r="E13" s="4"/>
      <c r="F13" s="4"/>
      <c r="G13" s="720">
        <f>+'balance 2022 antes impto andes'!I46</f>
        <v>320000000</v>
      </c>
      <c r="H13" s="111">
        <f>SUM(G5:G13)</f>
        <v>498194361.62464988</v>
      </c>
    </row>
    <row r="14" spans="4:8">
      <c r="D14" s="721" t="s">
        <v>490</v>
      </c>
      <c r="E14" s="4"/>
      <c r="F14" s="4"/>
      <c r="G14" s="720"/>
    </row>
    <row r="15" spans="4:8">
      <c r="D15" s="4" t="s">
        <v>491</v>
      </c>
      <c r="E15" s="4"/>
      <c r="F15" s="4"/>
      <c r="G15" s="720">
        <f>-'base imponible  at 2023 los and'!E6</f>
        <v>-120168067.22689076</v>
      </c>
    </row>
    <row r="16" spans="4:8">
      <c r="D16" s="4" t="s">
        <v>492</v>
      </c>
      <c r="E16" s="4"/>
      <c r="F16" s="4"/>
      <c r="G16" s="720">
        <f>-'base imponible  at 2023 los and'!F33</f>
        <v>-695000000</v>
      </c>
    </row>
    <row r="17" spans="4:10">
      <c r="D17" s="4" t="s">
        <v>493</v>
      </c>
      <c r="E17" s="4"/>
      <c r="F17" s="4"/>
      <c r="G17" s="720">
        <f>-'base imponible  at 2023 los and'!G37</f>
        <v>-261760000</v>
      </c>
    </row>
    <row r="18" spans="4:10">
      <c r="D18" t="str">
        <f>+D6</f>
        <v>gastos no documentados</v>
      </c>
      <c r="G18" s="111"/>
      <c r="H18" s="111">
        <f>SUM(G15:G18)</f>
        <v>-1076928067.2268908</v>
      </c>
    </row>
    <row r="19" spans="4:10">
      <c r="G19" s="111"/>
    </row>
    <row r="20" spans="4:10">
      <c r="D20" t="s">
        <v>497</v>
      </c>
      <c r="G20" s="111"/>
      <c r="H20" s="5">
        <f>SUM(H3:H18)</f>
        <v>-5566872.2689076662</v>
      </c>
      <c r="J20" s="5"/>
    </row>
    <row r="21" spans="4:10">
      <c r="G21" s="111"/>
    </row>
    <row r="22" spans="4:10">
      <c r="D22" s="9" t="s">
        <v>188</v>
      </c>
      <c r="G22" s="5"/>
      <c r="H22" s="5">
        <f>+H3</f>
        <v>573166833.33333325</v>
      </c>
    </row>
    <row r="23" spans="4:10">
      <c r="D23" s="9" t="s">
        <v>189</v>
      </c>
    </row>
    <row r="24" spans="4:10">
      <c r="D24" t="s">
        <v>190</v>
      </c>
      <c r="G24" s="111">
        <f>+G5</f>
        <v>5166666.666666666</v>
      </c>
    </row>
    <row r="25" spans="4:10">
      <c r="D25" t="s">
        <v>191</v>
      </c>
      <c r="G25" s="111">
        <f>+G6</f>
        <v>1980000</v>
      </c>
    </row>
    <row r="26" spans="4:10">
      <c r="D26" t="s">
        <v>496</v>
      </c>
      <c r="G26" s="111">
        <f>+'balance 2022 antes impto andes'!I67</f>
        <v>0</v>
      </c>
    </row>
    <row r="27" spans="4:10">
      <c r="D27" t="s">
        <v>494</v>
      </c>
      <c r="G27" s="111">
        <f>+'base imponible  at 2023 los and'!E53</f>
        <v>0</v>
      </c>
    </row>
    <row r="28" spans="4:10">
      <c r="D28" t="s">
        <v>495</v>
      </c>
      <c r="G28" s="111">
        <f>+'base imponible  at 2023 los and'!E54</f>
        <v>0</v>
      </c>
    </row>
    <row r="29" spans="4:10">
      <c r="D29" t="s">
        <v>192</v>
      </c>
      <c r="G29" s="111">
        <f>+G11</f>
        <v>7865000</v>
      </c>
    </row>
    <row r="30" spans="4:10">
      <c r="D30" t="s">
        <v>194</v>
      </c>
      <c r="G30" s="111">
        <f>+G12</f>
        <v>4000000</v>
      </c>
    </row>
    <row r="31" spans="4:10">
      <c r="D31" t="s">
        <v>143</v>
      </c>
      <c r="G31" s="111">
        <f>+G13</f>
        <v>320000000</v>
      </c>
      <c r="H31" s="111">
        <f>SUM(G24:G31)</f>
        <v>339011666.66666669</v>
      </c>
    </row>
    <row r="32" spans="4:10">
      <c r="D32" s="9" t="s">
        <v>490</v>
      </c>
      <c r="G32" s="111"/>
    </row>
    <row r="33" spans="4:8">
      <c r="D33" t="s">
        <v>491</v>
      </c>
      <c r="G33" s="111">
        <f>-'base imponible  at 2023 los and'!E24</f>
        <v>0</v>
      </c>
    </row>
    <row r="34" spans="4:8">
      <c r="D34" t="s">
        <v>492</v>
      </c>
      <c r="G34" s="111">
        <f>+G16</f>
        <v>-695000000</v>
      </c>
    </row>
    <row r="35" spans="4:8">
      <c r="D35" t="s">
        <v>493</v>
      </c>
      <c r="G35" s="111">
        <f>+G17</f>
        <v>-261760000</v>
      </c>
    </row>
    <row r="36" spans="4:8">
      <c r="D36" t="str">
        <f>+D25</f>
        <v>gastos no documentados</v>
      </c>
      <c r="G36" s="111">
        <f>-G25</f>
        <v>-1980000</v>
      </c>
      <c r="H36" s="111">
        <f>SUM(G33:G36)</f>
        <v>-958740000</v>
      </c>
    </row>
    <row r="37" spans="4:8">
      <c r="G37" s="111"/>
    </row>
    <row r="38" spans="4:8">
      <c r="D38" t="str">
        <f>+D20</f>
        <v>Pérdida</v>
      </c>
      <c r="G38" s="111"/>
      <c r="H38" s="5">
        <f>SUM(H22:H36)</f>
        <v>-46561500</v>
      </c>
    </row>
    <row r="39" spans="4:8">
      <c r="D39" t="s">
        <v>195</v>
      </c>
      <c r="H39" s="5"/>
    </row>
    <row r="40" spans="4:8">
      <c r="D40" t="s">
        <v>196</v>
      </c>
      <c r="H40" s="5">
        <f>+H39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30" zoomScale="91" zoomScaleNormal="91" workbookViewId="0">
      <selection activeCell="M46" sqref="M46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4" width="14" bestFit="1" customWidth="1"/>
  </cols>
  <sheetData>
    <row r="1" spans="1:10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inicial los andes '!C5+'ajustes 2022'!E6</f>
        <v>7400000</v>
      </c>
      <c r="D5" s="52">
        <f>+'balance 2022 inicial los andes '!D5</f>
        <v>0</v>
      </c>
      <c r="E5" s="52">
        <f>+IF(C5-D5&gt;0,C5-D5,0)</f>
        <v>7400000</v>
      </c>
      <c r="F5" s="52">
        <f>IF((D5-C5)&gt;0,D5-C5,0)</f>
        <v>0</v>
      </c>
      <c r="G5" s="52">
        <f t="shared" ref="G5:H23" si="0">IF(E5&gt;0,E5,0)</f>
        <v>7400000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inicial los andes '!C6</f>
        <v>1100000000</v>
      </c>
      <c r="D6" s="52">
        <f>+'balance 2022 inicial los andes '!D6+'ajustes 2022'!F21+7400000</f>
        <v>1047555200</v>
      </c>
      <c r="E6" s="52">
        <f>+IF(C6-D6&gt;0,C6-D6,0)</f>
        <v>52444800</v>
      </c>
      <c r="F6" s="52">
        <f>IF((D6-C6)&gt;0,D6-C6,0)</f>
        <v>0</v>
      </c>
      <c r="G6" s="52">
        <f t="shared" si="0"/>
        <v>52444800</v>
      </c>
      <c r="H6" s="52">
        <f t="shared" si="0"/>
        <v>0</v>
      </c>
      <c r="I6" s="52">
        <v>0</v>
      </c>
      <c r="J6" s="52">
        <v>0</v>
      </c>
    </row>
    <row r="7" spans="1:10" hidden="1">
      <c r="A7" s="65"/>
      <c r="B7" s="58"/>
      <c r="C7" s="52"/>
      <c r="D7" s="52"/>
      <c r="E7" s="52"/>
      <c r="F7" s="52"/>
      <c r="G7" s="52"/>
      <c r="H7" s="52"/>
      <c r="I7" s="52"/>
      <c r="J7" s="52"/>
    </row>
    <row r="8" spans="1:10">
      <c r="A8" s="65">
        <v>11011</v>
      </c>
      <c r="B8" s="58" t="s">
        <v>51</v>
      </c>
      <c r="C8" s="52">
        <f>+'balance 2022 inicial los andes '!C7</f>
        <v>50000000</v>
      </c>
      <c r="D8" s="52">
        <f>+'balance 2022 inicial los andes '!D7</f>
        <v>0</v>
      </c>
      <c r="E8" s="52">
        <f t="shared" ref="E8:E49" si="1">+IF(C8-D8&gt;0,C8-D8,0)</f>
        <v>50000000</v>
      </c>
      <c r="F8" s="52">
        <f t="shared" ref="F8:F49" si="2">IF((D8-C8)&gt;0,D8-C8,0)</f>
        <v>0</v>
      </c>
      <c r="G8" s="52">
        <f t="shared" si="0"/>
        <v>50000000</v>
      </c>
      <c r="H8" s="52">
        <f t="shared" si="0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inicial los andes '!C8</f>
        <v>143000000</v>
      </c>
      <c r="D9" s="52">
        <f>+'balance 2022 inicial los andes '!D8</f>
        <v>0</v>
      </c>
      <c r="E9" s="52">
        <f t="shared" si="1"/>
        <v>143000000</v>
      </c>
      <c r="F9" s="52">
        <f t="shared" si="2"/>
        <v>0</v>
      </c>
      <c r="G9" s="52">
        <f t="shared" si="0"/>
        <v>143000000</v>
      </c>
      <c r="H9" s="52">
        <f t="shared" si="0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+'balance 2022 inicial los andes '!C9</f>
        <v>0</v>
      </c>
      <c r="D10" s="52">
        <f>+'ajustes 2022'!F34</f>
        <v>7865000</v>
      </c>
      <c r="E10" s="52">
        <f t="shared" si="1"/>
        <v>0</v>
      </c>
      <c r="F10" s="52">
        <f t="shared" si="2"/>
        <v>7865000</v>
      </c>
      <c r="G10" s="52">
        <f t="shared" si="0"/>
        <v>0</v>
      </c>
      <c r="H10" s="52">
        <f t="shared" si="0"/>
        <v>7865000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inicial los andes '!C10</f>
        <v>695000000</v>
      </c>
      <c r="D11" s="52">
        <f>+'ajustes 2022'!F13</f>
        <v>320000000</v>
      </c>
      <c r="E11" s="52">
        <f t="shared" si="1"/>
        <v>375000000</v>
      </c>
      <c r="F11" s="52">
        <f t="shared" si="2"/>
        <v>0</v>
      </c>
      <c r="G11" s="52">
        <f t="shared" si="0"/>
        <v>375000000</v>
      </c>
      <c r="H11" s="52">
        <f t="shared" si="0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+'balance 2022 inicial los andes '!C11</f>
        <v>0</v>
      </c>
      <c r="D12" s="52">
        <f>+'balance 2022 inicial los andes '!D11</f>
        <v>0</v>
      </c>
      <c r="E12" s="52">
        <f t="shared" si="1"/>
        <v>0</v>
      </c>
      <c r="F12" s="52">
        <f t="shared" si="2"/>
        <v>0</v>
      </c>
      <c r="G12" s="52">
        <f t="shared" si="0"/>
        <v>0</v>
      </c>
      <c r="H12" s="52">
        <f t="shared" si="0"/>
        <v>0</v>
      </c>
      <c r="I12" s="52">
        <v>0</v>
      </c>
      <c r="J12" s="52">
        <v>0</v>
      </c>
    </row>
    <row r="13" spans="1:10" hidden="1">
      <c r="A13" s="65"/>
      <c r="B13" s="58"/>
      <c r="C13" s="52"/>
      <c r="D13" s="52"/>
      <c r="E13" s="52"/>
      <c r="F13" s="52"/>
      <c r="G13" s="52"/>
      <c r="H13" s="52"/>
      <c r="I13" s="52"/>
      <c r="J13" s="52"/>
    </row>
    <row r="14" spans="1:10">
      <c r="A14" s="65">
        <v>12001</v>
      </c>
      <c r="B14" s="58" t="s">
        <v>110</v>
      </c>
      <c r="C14" s="52">
        <f>+'balance 2022 inicial los andes '!C12+'ajustes 2022'!E9+'ajustes 2022'!E23</f>
        <v>10036000</v>
      </c>
      <c r="D14" s="52">
        <f>+'balance 2022 inicial los andes '!D12</f>
        <v>0</v>
      </c>
      <c r="E14" s="52">
        <f t="shared" si="1"/>
        <v>10036000</v>
      </c>
      <c r="F14" s="52">
        <f t="shared" si="2"/>
        <v>0</v>
      </c>
      <c r="G14" s="52">
        <f t="shared" si="0"/>
        <v>10036000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inicial los andes '!C13</f>
        <v>132050000</v>
      </c>
      <c r="D15" s="52">
        <f>+'ajustes 2022'!F19</f>
        <v>120365000</v>
      </c>
      <c r="E15" s="52">
        <f t="shared" si="1"/>
        <v>11685000</v>
      </c>
      <c r="F15" s="52">
        <f t="shared" si="2"/>
        <v>0</v>
      </c>
      <c r="G15" s="52">
        <f t="shared" si="0"/>
        <v>11685000</v>
      </c>
      <c r="H15" s="52">
        <f t="shared" si="0"/>
        <v>0</v>
      </c>
      <c r="I15" s="52">
        <v>0</v>
      </c>
      <c r="J15" s="52">
        <v>0</v>
      </c>
    </row>
    <row r="16" spans="1:10">
      <c r="A16" s="65">
        <v>12003</v>
      </c>
      <c r="B16" s="58" t="s">
        <v>114</v>
      </c>
      <c r="C16" s="52">
        <f>+'balance 2022 inicial los andes '!C14</f>
        <v>0</v>
      </c>
      <c r="D16" s="52">
        <f>+'balance 2022 inicial los andes '!D14</f>
        <v>0</v>
      </c>
      <c r="E16" s="52">
        <f t="shared" si="1"/>
        <v>0</v>
      </c>
      <c r="F16" s="52">
        <f t="shared" si="2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3">
      <c r="A17" s="65">
        <v>13001</v>
      </c>
      <c r="B17" s="58" t="s">
        <v>50</v>
      </c>
      <c r="C17" s="52">
        <f>+'balance 2022 inicial los andes '!C15</f>
        <v>16000000</v>
      </c>
      <c r="D17" s="52">
        <f>+'balance 2022 inicial los andes '!D15</f>
        <v>0</v>
      </c>
      <c r="E17" s="52">
        <f t="shared" si="1"/>
        <v>16000000</v>
      </c>
      <c r="F17" s="52">
        <f t="shared" si="2"/>
        <v>0</v>
      </c>
      <c r="G17" s="52">
        <f t="shared" si="0"/>
        <v>16000000</v>
      </c>
      <c r="H17" s="52">
        <f t="shared" si="0"/>
        <v>0</v>
      </c>
      <c r="I17" s="52">
        <v>0</v>
      </c>
      <c r="J17" s="52">
        <v>0</v>
      </c>
    </row>
    <row r="18" spans="1:13" hidden="1">
      <c r="A18" s="65"/>
      <c r="B18" s="58"/>
      <c r="C18" s="52"/>
      <c r="D18" s="52"/>
      <c r="E18" s="52"/>
      <c r="F18" s="52"/>
      <c r="G18" s="52"/>
      <c r="H18" s="52"/>
      <c r="I18" s="52"/>
      <c r="J18" s="52"/>
      <c r="M18" s="5"/>
    </row>
    <row r="19" spans="1:13">
      <c r="A19" s="65" t="s">
        <v>54</v>
      </c>
      <c r="B19" s="58" t="s">
        <v>55</v>
      </c>
      <c r="C19" s="52">
        <f>+'balance 2022 inicial los andes '!C16+'ajustes 2022'!E26</f>
        <v>317260000</v>
      </c>
      <c r="D19" s="52">
        <f>+'balance 2022 inicial los andes '!D16</f>
        <v>0</v>
      </c>
      <c r="E19" s="52">
        <f t="shared" si="1"/>
        <v>317260000</v>
      </c>
      <c r="F19" s="52">
        <f t="shared" si="2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  <c r="M19" s="5"/>
    </row>
    <row r="20" spans="1:13">
      <c r="A20" s="65" t="s">
        <v>56</v>
      </c>
      <c r="B20" s="58" t="s">
        <v>57</v>
      </c>
      <c r="C20" s="52">
        <f>+'balance 2022 inicial los andes '!C17+'ajustes 2022'!E27</f>
        <v>50000000</v>
      </c>
      <c r="D20" s="52">
        <f>+'balance 2022 inicial los andes '!D17</f>
        <v>0</v>
      </c>
      <c r="E20" s="52">
        <f t="shared" si="1"/>
        <v>50000000</v>
      </c>
      <c r="F20" s="52">
        <f t="shared" si="2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3">
      <c r="A21" s="65">
        <v>15010</v>
      </c>
      <c r="B21" s="58" t="s">
        <v>104</v>
      </c>
      <c r="C21" s="52">
        <f>+'balance 2022 inicial los andes '!C18</f>
        <v>0</v>
      </c>
      <c r="D21" s="52">
        <f>+'balance 2022 inicial los andes '!D18</f>
        <v>0</v>
      </c>
      <c r="E21" s="52">
        <f t="shared" si="1"/>
        <v>0</v>
      </c>
      <c r="F21" s="52">
        <f t="shared" si="2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3">
      <c r="A22" s="65">
        <v>15015</v>
      </c>
      <c r="B22" s="58" t="s">
        <v>58</v>
      </c>
      <c r="C22" s="52">
        <f>+'balance 2022 inicial los andes '!C19</f>
        <v>7000000</v>
      </c>
      <c r="D22" s="52">
        <f>+'balance 2022 inicial los andes '!D19</f>
        <v>0</v>
      </c>
      <c r="E22" s="52">
        <f t="shared" si="1"/>
        <v>7000000</v>
      </c>
      <c r="F22" s="52">
        <f t="shared" si="2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3" hidden="1">
      <c r="A23" s="65">
        <v>15020</v>
      </c>
      <c r="B23" s="58" t="s">
        <v>15</v>
      </c>
      <c r="C23" s="52">
        <f>+'balance 2022 inicial los andes '!C20</f>
        <v>0</v>
      </c>
      <c r="D23" s="52">
        <f>+'balance 2022 inicial los andes '!D20</f>
        <v>0</v>
      </c>
      <c r="E23" s="52">
        <f t="shared" si="1"/>
        <v>0</v>
      </c>
      <c r="F23" s="52">
        <f t="shared" si="2"/>
        <v>0</v>
      </c>
      <c r="G23" s="52">
        <f t="shared" si="0"/>
        <v>0</v>
      </c>
      <c r="H23" s="52">
        <f t="shared" si="0"/>
        <v>0</v>
      </c>
      <c r="I23" s="52">
        <v>0</v>
      </c>
      <c r="J23" s="52">
        <v>0</v>
      </c>
    </row>
    <row r="24" spans="1:13" hidden="1">
      <c r="A24" s="65">
        <v>15031</v>
      </c>
      <c r="B24" s="58" t="s">
        <v>88</v>
      </c>
      <c r="C24" s="52">
        <f>+'balance 2022 inicial los andes '!C21</f>
        <v>0</v>
      </c>
      <c r="D24" s="52">
        <f>+'balance 2022 inicial los andes '!D21</f>
        <v>0</v>
      </c>
      <c r="E24" s="52">
        <f t="shared" si="1"/>
        <v>0</v>
      </c>
      <c r="F24" s="52">
        <f t="shared" si="2"/>
        <v>0</v>
      </c>
      <c r="G24" s="52">
        <f t="shared" ref="G24:H44" si="3">IF(E24&gt;0,E24,0)</f>
        <v>0</v>
      </c>
      <c r="H24" s="52">
        <f t="shared" si="3"/>
        <v>0</v>
      </c>
      <c r="I24" s="52">
        <v>0</v>
      </c>
      <c r="J24" s="52">
        <v>0</v>
      </c>
    </row>
    <row r="25" spans="1:13" hidden="1">
      <c r="A25" s="65">
        <v>15101</v>
      </c>
      <c r="B25" s="58" t="s">
        <v>310</v>
      </c>
      <c r="C25" s="52">
        <f>+'balance 2022 inicial los andes '!C22</f>
        <v>0</v>
      </c>
      <c r="D25" s="52">
        <f>+'balance 2022 inicial los andes '!D22</f>
        <v>0</v>
      </c>
      <c r="E25" s="52">
        <f t="shared" si="1"/>
        <v>0</v>
      </c>
      <c r="F25" s="52">
        <f t="shared" si="2"/>
        <v>0</v>
      </c>
      <c r="G25" s="52">
        <f t="shared" si="3"/>
        <v>0</v>
      </c>
      <c r="H25" s="52">
        <f t="shared" si="3"/>
        <v>0</v>
      </c>
      <c r="I25" s="52">
        <v>0</v>
      </c>
      <c r="J25" s="52">
        <v>0</v>
      </c>
    </row>
    <row r="26" spans="1:13" hidden="1">
      <c r="A26" s="65">
        <v>15102</v>
      </c>
      <c r="B26" s="58" t="s">
        <v>106</v>
      </c>
      <c r="C26" s="52">
        <f>+'balance 2022 inicial los andes '!C23</f>
        <v>0</v>
      </c>
      <c r="D26" s="52">
        <f>+'balance 2022 inicial los andes '!D23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>
        <v>0</v>
      </c>
      <c r="J26" s="52">
        <v>0</v>
      </c>
    </row>
    <row r="27" spans="1:13">
      <c r="A27" s="67">
        <v>15410</v>
      </c>
      <c r="B27" s="58" t="s">
        <v>59</v>
      </c>
      <c r="C27" s="52">
        <f>+'balance 2022 inicial los andes '!C24</f>
        <v>0</v>
      </c>
      <c r="D27" s="52">
        <f>+'ajustes 2022'!F16</f>
        <v>5166666.666666666</v>
      </c>
      <c r="E27" s="52">
        <f t="shared" si="1"/>
        <v>0</v>
      </c>
      <c r="F27" s="52">
        <f t="shared" si="2"/>
        <v>5166666.666666666</v>
      </c>
      <c r="G27" s="52">
        <f t="shared" si="3"/>
        <v>0</v>
      </c>
      <c r="H27" s="52">
        <f t="shared" si="3"/>
        <v>5166666.666666666</v>
      </c>
      <c r="I27" s="52">
        <v>0</v>
      </c>
      <c r="J27" s="52">
        <v>0</v>
      </c>
    </row>
    <row r="28" spans="1:13" hidden="1">
      <c r="A28" s="67">
        <v>15420</v>
      </c>
      <c r="B28" s="58" t="s">
        <v>91</v>
      </c>
      <c r="C28" s="52">
        <f>+'balance 2022 inicial los andes '!C25</f>
        <v>0</v>
      </c>
      <c r="D28" s="52">
        <f>+'balance 2022 inicial los andes '!D25</f>
        <v>0</v>
      </c>
      <c r="E28" s="52">
        <f t="shared" si="1"/>
        <v>0</v>
      </c>
      <c r="F28" s="52">
        <f t="shared" si="2"/>
        <v>0</v>
      </c>
      <c r="G28" s="52">
        <f t="shared" si="3"/>
        <v>0</v>
      </c>
      <c r="H28" s="52">
        <f t="shared" si="3"/>
        <v>0</v>
      </c>
      <c r="I28" s="52">
        <v>0</v>
      </c>
      <c r="J28" s="52">
        <v>0</v>
      </c>
    </row>
    <row r="29" spans="1:13" hidden="1">
      <c r="A29" s="67">
        <v>18101</v>
      </c>
      <c r="B29" s="58" t="s">
        <v>87</v>
      </c>
      <c r="C29" s="52">
        <f>+'balance 2022 inicial los andes '!C26</f>
        <v>0</v>
      </c>
      <c r="D29" s="52">
        <f>+'balance 2022 inicial los andes '!D26</f>
        <v>0</v>
      </c>
      <c r="E29" s="52">
        <f t="shared" si="1"/>
        <v>0</v>
      </c>
      <c r="F29" s="52">
        <f t="shared" si="2"/>
        <v>0</v>
      </c>
      <c r="G29" s="52">
        <f t="shared" si="3"/>
        <v>0</v>
      </c>
      <c r="H29" s="52">
        <f t="shared" si="3"/>
        <v>0</v>
      </c>
      <c r="I29" s="52"/>
      <c r="J29" s="52"/>
    </row>
    <row r="30" spans="1:13">
      <c r="A30" s="67">
        <v>20001</v>
      </c>
      <c r="B30" s="58" t="s">
        <v>98</v>
      </c>
      <c r="C30" s="52">
        <f>+'balance 2022 inicial los andes '!C27</f>
        <v>0</v>
      </c>
      <c r="D30" s="52">
        <f>+'balance 2022 inicial los andes '!D27</f>
        <v>42800000</v>
      </c>
      <c r="E30" s="52">
        <f t="shared" si="1"/>
        <v>0</v>
      </c>
      <c r="F30" s="52">
        <f t="shared" si="2"/>
        <v>42800000</v>
      </c>
      <c r="G30" s="52">
        <f t="shared" si="3"/>
        <v>0</v>
      </c>
      <c r="H30" s="52">
        <f t="shared" si="3"/>
        <v>42800000</v>
      </c>
      <c r="I30" s="52"/>
      <c r="J30" s="52"/>
    </row>
    <row r="31" spans="1:13" hidden="1">
      <c r="A31" s="67">
        <v>20021</v>
      </c>
      <c r="B31" s="58" t="s">
        <v>99</v>
      </c>
      <c r="C31" s="52">
        <f>+'balance 2022 inicial los andes '!C28</f>
        <v>0</v>
      </c>
      <c r="D31" s="52">
        <f>+'balance 2022 inicial los andes '!D28</f>
        <v>0</v>
      </c>
      <c r="E31" s="52">
        <f t="shared" si="1"/>
        <v>0</v>
      </c>
      <c r="F31" s="52">
        <f t="shared" si="2"/>
        <v>0</v>
      </c>
      <c r="G31" s="52">
        <f t="shared" si="3"/>
        <v>0</v>
      </c>
      <c r="H31" s="52">
        <f t="shared" si="3"/>
        <v>0</v>
      </c>
      <c r="I31" s="52"/>
      <c r="J31" s="52"/>
    </row>
    <row r="32" spans="1:13">
      <c r="A32" s="67">
        <v>20151</v>
      </c>
      <c r="B32" s="58" t="s">
        <v>60</v>
      </c>
      <c r="C32" s="52">
        <f>+'ajustes 2022'!E18</f>
        <v>164312000</v>
      </c>
      <c r="D32" s="52">
        <f>+'balance 2022 inicial los andes '!D29</f>
        <v>180500000</v>
      </c>
      <c r="E32" s="52">
        <f t="shared" si="1"/>
        <v>0</v>
      </c>
      <c r="F32" s="52">
        <f t="shared" si="2"/>
        <v>16188000</v>
      </c>
      <c r="G32" s="52">
        <f t="shared" si="3"/>
        <v>0</v>
      </c>
      <c r="H32" s="52">
        <f t="shared" si="3"/>
        <v>16188000</v>
      </c>
      <c r="I32" s="52"/>
      <c r="J32" s="52"/>
    </row>
    <row r="33" spans="1:13">
      <c r="A33" s="65" t="s">
        <v>61</v>
      </c>
      <c r="B33" s="58" t="s">
        <v>6</v>
      </c>
      <c r="C33" s="52">
        <f>+'balance 2022 inicial los andes '!C30</f>
        <v>0</v>
      </c>
      <c r="D33" s="52">
        <f>+'balance 2022 inicial los andes '!D30</f>
        <v>187410000</v>
      </c>
      <c r="E33" s="52">
        <f t="shared" si="1"/>
        <v>0</v>
      </c>
      <c r="F33" s="52">
        <f t="shared" si="2"/>
        <v>187410000</v>
      </c>
      <c r="G33" s="52">
        <f t="shared" si="3"/>
        <v>0</v>
      </c>
      <c r="H33" s="52">
        <f t="shared" si="3"/>
        <v>187410000</v>
      </c>
      <c r="I33" s="52">
        <v>0</v>
      </c>
      <c r="J33" s="52">
        <v>0</v>
      </c>
    </row>
    <row r="34" spans="1:13">
      <c r="A34" s="65">
        <v>21002</v>
      </c>
      <c r="B34" s="58" t="s">
        <v>62</v>
      </c>
      <c r="C34" s="52">
        <f>+'balance 2022 inicial los andes '!C31</f>
        <v>0</v>
      </c>
      <c r="D34" s="52">
        <f>+'balance 2022 inicial los andes '!D31</f>
        <v>15478000</v>
      </c>
      <c r="E34" s="52">
        <f t="shared" si="1"/>
        <v>0</v>
      </c>
      <c r="F34" s="52">
        <f t="shared" si="2"/>
        <v>15478000</v>
      </c>
      <c r="G34" s="52">
        <f t="shared" si="3"/>
        <v>0</v>
      </c>
      <c r="H34" s="52">
        <f t="shared" si="3"/>
        <v>15478000</v>
      </c>
      <c r="I34" s="52">
        <v>0</v>
      </c>
      <c r="J34" s="52">
        <v>0</v>
      </c>
    </row>
    <row r="35" spans="1:13">
      <c r="A35" s="65">
        <v>22001</v>
      </c>
      <c r="B35" s="58" t="s">
        <v>115</v>
      </c>
      <c r="C35" s="52">
        <f>+'balance 2022 inicial los andes '!C32</f>
        <v>0</v>
      </c>
      <c r="D35" s="52">
        <f>+'balance 2022 inicial los andes '!D32</f>
        <v>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3">
      <c r="A36" s="65">
        <v>22002</v>
      </c>
      <c r="B36" s="58" t="s">
        <v>108</v>
      </c>
      <c r="C36" s="52">
        <f>+'balance 2022 inicial los andes '!C33</f>
        <v>6499200</v>
      </c>
      <c r="D36" s="52">
        <f>+'balance 2022 inicial los andes '!D33</f>
        <v>7134000</v>
      </c>
      <c r="E36" s="52">
        <f t="shared" si="1"/>
        <v>0</v>
      </c>
      <c r="F36" s="52">
        <f t="shared" si="2"/>
        <v>634800</v>
      </c>
      <c r="G36" s="52">
        <f t="shared" si="3"/>
        <v>0</v>
      </c>
      <c r="H36" s="52">
        <f t="shared" si="3"/>
        <v>634800</v>
      </c>
      <c r="I36" s="52">
        <v>0</v>
      </c>
      <c r="J36" s="52">
        <v>0</v>
      </c>
    </row>
    <row r="37" spans="1:13">
      <c r="A37" s="65">
        <v>22051</v>
      </c>
      <c r="B37" s="58" t="s">
        <v>65</v>
      </c>
      <c r="C37" s="52">
        <f>+'ajustes 2022'!E20</f>
        <v>4390000</v>
      </c>
      <c r="D37" s="52">
        <f>+'balance 2022 inicial los andes '!D34</f>
        <v>4500000</v>
      </c>
      <c r="E37" s="52">
        <f t="shared" si="1"/>
        <v>0</v>
      </c>
      <c r="F37" s="52">
        <f t="shared" si="2"/>
        <v>110000</v>
      </c>
      <c r="G37" s="52">
        <f t="shared" si="3"/>
        <v>0</v>
      </c>
      <c r="H37" s="52">
        <f t="shared" si="3"/>
        <v>110000</v>
      </c>
      <c r="I37" s="52">
        <v>0</v>
      </c>
      <c r="J37" s="52">
        <v>0</v>
      </c>
    </row>
    <row r="38" spans="1:13" hidden="1">
      <c r="A38" s="66"/>
      <c r="B38" s="58"/>
      <c r="C38" s="52"/>
      <c r="D38" s="52"/>
      <c r="E38" s="52"/>
      <c r="F38" s="52"/>
      <c r="G38" s="52"/>
      <c r="H38" s="52"/>
      <c r="I38" s="52"/>
      <c r="J38" s="52"/>
    </row>
    <row r="39" spans="1:13" hidden="1">
      <c r="A39" s="66">
        <v>23001</v>
      </c>
      <c r="B39" s="58" t="s">
        <v>95</v>
      </c>
      <c r="C39" s="52">
        <f>+'balance 2022 inicial los andes '!C35</f>
        <v>0</v>
      </c>
      <c r="D39" s="52">
        <f>+'balance 2022 inicial los andes '!D35</f>
        <v>0</v>
      </c>
      <c r="E39" s="52">
        <f t="shared" si="1"/>
        <v>0</v>
      </c>
      <c r="F39" s="52">
        <f t="shared" si="2"/>
        <v>0</v>
      </c>
      <c r="G39" s="52">
        <f t="shared" si="3"/>
        <v>0</v>
      </c>
      <c r="H39" s="52">
        <f t="shared" si="3"/>
        <v>0</v>
      </c>
      <c r="I39" s="52">
        <v>0</v>
      </c>
      <c r="J39" s="52">
        <v>0</v>
      </c>
    </row>
    <row r="40" spans="1:13">
      <c r="A40" s="67">
        <v>24001</v>
      </c>
      <c r="B40" s="58" t="s">
        <v>66</v>
      </c>
      <c r="C40" s="52">
        <f>+'balance 2022 inicial los andes '!C36</f>
        <v>0</v>
      </c>
      <c r="D40" s="52">
        <f>+'ajustes 2022'!F38</f>
        <v>0</v>
      </c>
      <c r="E40" s="52">
        <f t="shared" si="1"/>
        <v>0</v>
      </c>
      <c r="F40" s="52">
        <f t="shared" si="2"/>
        <v>0</v>
      </c>
      <c r="G40" s="52">
        <f t="shared" si="3"/>
        <v>0</v>
      </c>
      <c r="H40" s="52">
        <f t="shared" si="3"/>
        <v>0</v>
      </c>
      <c r="I40" s="52">
        <v>0</v>
      </c>
      <c r="J40" s="52">
        <v>0</v>
      </c>
    </row>
    <row r="41" spans="1:13" hidden="1">
      <c r="A41" s="66">
        <v>24002</v>
      </c>
      <c r="B41" s="58" t="s">
        <v>103</v>
      </c>
      <c r="C41" s="52">
        <f>+'balance 2022 inicial los andes '!C37</f>
        <v>0</v>
      </c>
      <c r="D41" s="52">
        <f>+'balance 2022 inicial los andes '!D37</f>
        <v>0</v>
      </c>
      <c r="E41" s="52">
        <f t="shared" si="1"/>
        <v>0</v>
      </c>
      <c r="F41" s="52">
        <f t="shared" si="2"/>
        <v>0</v>
      </c>
      <c r="G41" s="52">
        <f t="shared" si="3"/>
        <v>0</v>
      </c>
      <c r="H41" s="52">
        <f t="shared" si="3"/>
        <v>0</v>
      </c>
      <c r="I41" s="52">
        <v>0</v>
      </c>
      <c r="J41" s="52">
        <v>0</v>
      </c>
    </row>
    <row r="42" spans="1:13">
      <c r="A42" s="66">
        <v>24010</v>
      </c>
      <c r="B42" s="58" t="s">
        <v>111</v>
      </c>
      <c r="C42" s="52">
        <f>+'balance 2022 inicial los andes '!C38</f>
        <v>0</v>
      </c>
      <c r="D42" s="52">
        <f>+'ajustes 2022'!F24</f>
        <v>2556000</v>
      </c>
      <c r="E42" s="52">
        <f t="shared" si="1"/>
        <v>0</v>
      </c>
      <c r="F42" s="52">
        <f t="shared" si="2"/>
        <v>2556000</v>
      </c>
      <c r="G42" s="52">
        <f t="shared" si="3"/>
        <v>0</v>
      </c>
      <c r="H42" s="52">
        <f t="shared" si="3"/>
        <v>2556000</v>
      </c>
      <c r="I42" s="52">
        <v>0</v>
      </c>
      <c r="J42" s="52">
        <v>0</v>
      </c>
    </row>
    <row r="43" spans="1:13">
      <c r="A43" s="65">
        <v>24015</v>
      </c>
      <c r="B43" s="58" t="s">
        <v>64</v>
      </c>
      <c r="C43" s="52">
        <f>+'balance 2022 inicial los andes '!C39</f>
        <v>0</v>
      </c>
      <c r="D43" s="52">
        <f>+'provision vacaciones dos años '!H24</f>
        <v>950499.99999999988</v>
      </c>
      <c r="E43" s="52">
        <f t="shared" si="1"/>
        <v>0</v>
      </c>
      <c r="F43" s="52">
        <f t="shared" si="2"/>
        <v>950499.99999999988</v>
      </c>
      <c r="G43" s="52">
        <f t="shared" si="3"/>
        <v>0</v>
      </c>
      <c r="H43" s="52">
        <f t="shared" si="3"/>
        <v>950499.99999999988</v>
      </c>
      <c r="I43" s="52">
        <v>0</v>
      </c>
      <c r="J43" s="52">
        <v>0</v>
      </c>
    </row>
    <row r="44" spans="1:13">
      <c r="A44" s="66">
        <v>25001</v>
      </c>
      <c r="B44" s="58" t="s">
        <v>96</v>
      </c>
      <c r="C44" s="52">
        <f>+'ajustes 2022'!E37</f>
        <v>0</v>
      </c>
      <c r="D44" s="52">
        <f>+'ajustes 2022'!F37</f>
        <v>0</v>
      </c>
      <c r="E44" s="52">
        <f t="shared" si="1"/>
        <v>0</v>
      </c>
      <c r="F44" s="52">
        <f t="shared" si="2"/>
        <v>0</v>
      </c>
      <c r="G44" s="52">
        <f t="shared" si="3"/>
        <v>0</v>
      </c>
      <c r="H44" s="52">
        <f t="shared" si="3"/>
        <v>0</v>
      </c>
      <c r="I44" s="52">
        <v>0</v>
      </c>
      <c r="J44" s="52">
        <v>0</v>
      </c>
    </row>
    <row r="45" spans="1:13">
      <c r="A45" s="65">
        <v>33001</v>
      </c>
      <c r="B45" s="58" t="s">
        <v>78</v>
      </c>
      <c r="C45" s="52">
        <f>+'balance 2022 inicial los andes '!C41</f>
        <v>0</v>
      </c>
      <c r="D45" s="52">
        <f>+'balance 2022 inicial los andes '!D41</f>
        <v>200000000</v>
      </c>
      <c r="E45" s="52">
        <f t="shared" si="1"/>
        <v>0</v>
      </c>
      <c r="F45" s="52">
        <f t="shared" si="2"/>
        <v>200000000</v>
      </c>
      <c r="G45" s="52">
        <f t="shared" ref="G45:H49" si="4">IF(E45&gt;0,E45,0)</f>
        <v>0</v>
      </c>
      <c r="H45" s="52">
        <f t="shared" si="4"/>
        <v>200000000</v>
      </c>
      <c r="I45" s="52">
        <v>0</v>
      </c>
      <c r="J45" s="52">
        <v>0</v>
      </c>
      <c r="M45" s="111">
        <f>+H45+H48+H76-G46-G47-G49</f>
        <v>760666833.33333337</v>
      </c>
    </row>
    <row r="46" spans="1:13">
      <c r="A46" s="65">
        <v>33002</v>
      </c>
      <c r="B46" s="58" t="s">
        <v>79</v>
      </c>
      <c r="C46" s="52">
        <f>+'balance 2022 inicial los andes '!C42</f>
        <v>200000000</v>
      </c>
      <c r="D46" s="52">
        <f>+'balance 2022 inicial los andes '!D42+'ajustes 2022'!F4</f>
        <v>160000000</v>
      </c>
      <c r="E46" s="52">
        <f t="shared" si="1"/>
        <v>40000000</v>
      </c>
      <c r="F46" s="52">
        <f t="shared" si="2"/>
        <v>0</v>
      </c>
      <c r="G46" s="52">
        <f t="shared" si="4"/>
        <v>40000000</v>
      </c>
      <c r="H46" s="52">
        <f t="shared" si="4"/>
        <v>0</v>
      </c>
      <c r="I46" s="52">
        <v>0</v>
      </c>
      <c r="J46" s="52">
        <v>0</v>
      </c>
    </row>
    <row r="47" spans="1:13">
      <c r="A47" s="65">
        <v>33003</v>
      </c>
      <c r="B47" s="58" t="s">
        <v>80</v>
      </c>
      <c r="C47" s="52">
        <f>+'balance 2022 inicial los andes '!C43+'ajustes 2022'!E3</f>
        <v>160000000</v>
      </c>
      <c r="D47" s="52">
        <f>+'balance 2022 inicial los andes '!D43+'ajustes 2022'!F7</f>
        <v>100000000</v>
      </c>
      <c r="E47" s="52">
        <f t="shared" si="1"/>
        <v>60000000</v>
      </c>
      <c r="F47" s="52">
        <f t="shared" si="2"/>
        <v>0</v>
      </c>
      <c r="G47" s="52">
        <f t="shared" si="4"/>
        <v>60000000</v>
      </c>
      <c r="H47" s="52">
        <f t="shared" si="4"/>
        <v>0</v>
      </c>
      <c r="I47" s="52">
        <v>0</v>
      </c>
      <c r="J47" s="52">
        <v>0</v>
      </c>
    </row>
    <row r="48" spans="1:13">
      <c r="A48" s="65">
        <v>33011</v>
      </c>
      <c r="B48" s="58" t="s">
        <v>67</v>
      </c>
      <c r="C48" s="52">
        <f>+'balance 2022 inicial los andes '!C44</f>
        <v>0</v>
      </c>
      <c r="D48" s="52">
        <f>+'ajustes 2022'!F28</f>
        <v>112500000</v>
      </c>
      <c r="E48" s="52">
        <f t="shared" si="1"/>
        <v>0</v>
      </c>
      <c r="F48" s="52">
        <f t="shared" si="2"/>
        <v>112500000</v>
      </c>
      <c r="G48" s="52">
        <f t="shared" si="4"/>
        <v>0</v>
      </c>
      <c r="H48" s="52">
        <f t="shared" si="4"/>
        <v>112500000</v>
      </c>
      <c r="I48" s="52">
        <v>0</v>
      </c>
      <c r="J48" s="52">
        <v>0</v>
      </c>
    </row>
    <row r="49" spans="1:14">
      <c r="A49" s="67">
        <v>34001</v>
      </c>
      <c r="B49" s="58" t="s">
        <v>82</v>
      </c>
      <c r="C49" s="52">
        <f>+'balance 2022 inicial los andes '!C45</f>
        <v>25000000</v>
      </c>
      <c r="D49" s="52">
        <f>+'balance 2022 inicial los andes '!D45</f>
        <v>0</v>
      </c>
      <c r="E49" s="52">
        <f t="shared" si="1"/>
        <v>25000000</v>
      </c>
      <c r="F49" s="52">
        <f t="shared" si="2"/>
        <v>0</v>
      </c>
      <c r="G49" s="52">
        <f t="shared" si="4"/>
        <v>25000000</v>
      </c>
      <c r="H49" s="52">
        <f t="shared" si="4"/>
        <v>0</v>
      </c>
      <c r="I49" s="52">
        <v>0</v>
      </c>
      <c r="J49" s="52">
        <v>0</v>
      </c>
    </row>
    <row r="50" spans="1:14" hidden="1">
      <c r="A50" s="67"/>
      <c r="B50" s="58"/>
      <c r="C50" s="52"/>
      <c r="D50" s="52"/>
      <c r="E50" s="52"/>
      <c r="F50" s="52"/>
      <c r="G50" s="52"/>
      <c r="H50" s="52"/>
      <c r="I50" s="52"/>
      <c r="J50" s="52"/>
    </row>
    <row r="51" spans="1:14" hidden="1">
      <c r="A51" s="67"/>
      <c r="B51" s="58"/>
      <c r="C51" s="52"/>
      <c r="D51" s="52"/>
      <c r="E51" s="52"/>
      <c r="F51" s="52"/>
      <c r="G51" s="52"/>
      <c r="H51" s="52"/>
      <c r="I51" s="52"/>
      <c r="J51" s="52"/>
    </row>
    <row r="52" spans="1:14">
      <c r="A52" s="67">
        <v>41001</v>
      </c>
      <c r="B52" s="58" t="s">
        <v>101</v>
      </c>
      <c r="C52" s="52">
        <f>+'ajustes 2022'!E12</f>
        <v>320000000</v>
      </c>
      <c r="D52" s="52">
        <f>+'balance 2022 inicial los andes '!D46</f>
        <v>0</v>
      </c>
      <c r="E52" s="52">
        <f t="shared" ref="E52:E74" si="5">IF(C52&gt;D52,(C52-D52),0)</f>
        <v>320000000</v>
      </c>
      <c r="F52" s="52">
        <f t="shared" ref="F52:F74" si="6">IF(D52&gt;C52,D52-C52,0)</f>
        <v>0</v>
      </c>
      <c r="G52" s="52"/>
      <c r="H52" s="52"/>
      <c r="I52" s="52">
        <f t="shared" ref="I52:I74" si="7">IF(E52&gt;F52,E52,0)</f>
        <v>320000000</v>
      </c>
      <c r="J52" s="52">
        <f t="shared" ref="J52:J74" si="8">IF(F52&gt;E52,F52,0)</f>
        <v>0</v>
      </c>
    </row>
    <row r="53" spans="1:14">
      <c r="A53" s="67">
        <v>42001</v>
      </c>
      <c r="B53" s="58" t="s">
        <v>68</v>
      </c>
      <c r="C53" s="52">
        <f>+'balance 2022 inicial los andes '!C47</f>
        <v>24600000</v>
      </c>
      <c r="D53" s="52">
        <f>+'balance 2022 inicial los andes '!D47</f>
        <v>0</v>
      </c>
      <c r="E53" s="52">
        <f t="shared" si="5"/>
        <v>24600000</v>
      </c>
      <c r="F53" s="52">
        <f t="shared" si="6"/>
        <v>0</v>
      </c>
      <c r="G53" s="52"/>
      <c r="H53" s="52"/>
      <c r="I53" s="52">
        <f t="shared" si="7"/>
        <v>24600000</v>
      </c>
      <c r="J53" s="52">
        <f t="shared" si="8"/>
        <v>0</v>
      </c>
    </row>
    <row r="54" spans="1:14">
      <c r="A54" s="67">
        <v>42002</v>
      </c>
      <c r="B54" s="58" t="s">
        <v>83</v>
      </c>
      <c r="C54" s="52">
        <f>+'balance 2022 inicial los andes '!C48</f>
        <v>1230000</v>
      </c>
      <c r="D54" s="52">
        <f>+'balance 2022 inicial los andes '!D48</f>
        <v>0</v>
      </c>
      <c r="E54" s="52">
        <f t="shared" si="5"/>
        <v>1230000</v>
      </c>
      <c r="F54" s="52">
        <f t="shared" si="6"/>
        <v>0</v>
      </c>
      <c r="G54" s="52"/>
      <c r="H54" s="52"/>
      <c r="I54" s="52">
        <f t="shared" si="7"/>
        <v>1230000</v>
      </c>
      <c r="J54" s="52">
        <f t="shared" si="8"/>
        <v>0</v>
      </c>
      <c r="N54" s="111"/>
    </row>
    <row r="55" spans="1:14">
      <c r="A55" s="67">
        <v>42011</v>
      </c>
      <c r="B55" s="58" t="s">
        <v>182</v>
      </c>
      <c r="C55" s="52">
        <f>+'ajustes 2022'!E30</f>
        <v>950499.99999999988</v>
      </c>
      <c r="D55" s="52"/>
      <c r="E55" s="52">
        <f t="shared" si="5"/>
        <v>950499.99999999988</v>
      </c>
      <c r="F55" s="52">
        <f t="shared" si="6"/>
        <v>0</v>
      </c>
      <c r="G55" s="52"/>
      <c r="H55" s="52"/>
      <c r="I55" s="52">
        <f t="shared" si="7"/>
        <v>950499.99999999988</v>
      </c>
      <c r="J55" s="52">
        <f t="shared" si="8"/>
        <v>0</v>
      </c>
    </row>
    <row r="56" spans="1:14">
      <c r="A56" s="67">
        <v>42051</v>
      </c>
      <c r="B56" s="58" t="s">
        <v>69</v>
      </c>
      <c r="C56" s="52">
        <f>+'balance 2022 inicial los andes '!C49</f>
        <v>12345000</v>
      </c>
      <c r="D56" s="52">
        <f>+'balance 2022 inicial los andes '!D49</f>
        <v>0</v>
      </c>
      <c r="E56" s="52">
        <f t="shared" si="5"/>
        <v>12345000</v>
      </c>
      <c r="F56" s="52">
        <f t="shared" si="6"/>
        <v>0</v>
      </c>
      <c r="G56" s="52"/>
      <c r="H56" s="52"/>
      <c r="I56" s="52">
        <f t="shared" si="7"/>
        <v>12345000</v>
      </c>
      <c r="J56" s="52">
        <f t="shared" si="8"/>
        <v>0</v>
      </c>
    </row>
    <row r="57" spans="1:14" hidden="1">
      <c r="A57" s="67">
        <v>43001</v>
      </c>
      <c r="B57" s="58" t="s">
        <v>102</v>
      </c>
      <c r="C57" s="52">
        <f>+'balance 2022 inicial los andes '!C50</f>
        <v>0</v>
      </c>
      <c r="D57" s="52">
        <f>+'balance 2022 inicial los andes '!D50</f>
        <v>0</v>
      </c>
      <c r="E57" s="52">
        <f t="shared" si="5"/>
        <v>0</v>
      </c>
      <c r="F57" s="52">
        <f t="shared" si="6"/>
        <v>0</v>
      </c>
      <c r="G57" s="52"/>
      <c r="H57" s="52"/>
      <c r="I57" s="52">
        <f t="shared" si="7"/>
        <v>0</v>
      </c>
      <c r="J57" s="52">
        <f t="shared" si="8"/>
        <v>0</v>
      </c>
    </row>
    <row r="58" spans="1:14" hidden="1">
      <c r="A58" s="67">
        <v>43002</v>
      </c>
      <c r="B58" s="58" t="s">
        <v>107</v>
      </c>
      <c r="C58" s="52">
        <f>+'balance 2022 inicial los andes '!C51</f>
        <v>0</v>
      </c>
      <c r="D58" s="52">
        <f>+'balance 2022 inicial los andes '!D51</f>
        <v>0</v>
      </c>
      <c r="E58" s="52">
        <f t="shared" si="5"/>
        <v>0</v>
      </c>
      <c r="F58" s="52">
        <f t="shared" si="6"/>
        <v>0</v>
      </c>
      <c r="G58" s="52"/>
      <c r="H58" s="52"/>
      <c r="I58" s="52">
        <f t="shared" si="7"/>
        <v>0</v>
      </c>
      <c r="J58" s="52">
        <f t="shared" si="8"/>
        <v>0</v>
      </c>
    </row>
    <row r="59" spans="1:14">
      <c r="A59" s="67" t="s">
        <v>70</v>
      </c>
      <c r="B59" s="58" t="s">
        <v>71</v>
      </c>
      <c r="C59" s="52">
        <f>+'balance 2022 inicial los andes '!C52</f>
        <v>1980000</v>
      </c>
      <c r="D59" s="52">
        <f>+'balance 2022 inicial los andes '!D52</f>
        <v>0</v>
      </c>
      <c r="E59" s="52">
        <f t="shared" si="5"/>
        <v>1980000</v>
      </c>
      <c r="F59" s="52">
        <f t="shared" si="6"/>
        <v>0</v>
      </c>
      <c r="G59" s="52"/>
      <c r="H59" s="52"/>
      <c r="I59" s="52">
        <f t="shared" si="7"/>
        <v>1980000</v>
      </c>
      <c r="J59" s="52">
        <f t="shared" si="8"/>
        <v>0</v>
      </c>
    </row>
    <row r="60" spans="1:14">
      <c r="A60" s="67" t="s">
        <v>72</v>
      </c>
      <c r="B60" s="58" t="s">
        <v>73</v>
      </c>
      <c r="C60" s="52">
        <f>+'ajustes 2022'!E36</f>
        <v>0</v>
      </c>
      <c r="D60" s="52">
        <f>+'balance 2022 inicial los andes '!D53</f>
        <v>0</v>
      </c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</row>
    <row r="61" spans="1:14">
      <c r="A61" s="67">
        <v>45101</v>
      </c>
      <c r="B61" s="58" t="s">
        <v>74</v>
      </c>
      <c r="C61" s="52">
        <f>+'balance 2022 inicial los andes '!C54</f>
        <v>2543000</v>
      </c>
      <c r="D61" s="52">
        <f>+'balance 2022 inicial los andes '!D54</f>
        <v>0</v>
      </c>
      <c r="E61" s="52">
        <f t="shared" si="5"/>
        <v>2543000</v>
      </c>
      <c r="F61" s="52">
        <f t="shared" si="6"/>
        <v>0</v>
      </c>
      <c r="G61" s="52"/>
      <c r="H61" s="52"/>
      <c r="I61" s="52">
        <f t="shared" si="7"/>
        <v>2543000</v>
      </c>
      <c r="J61" s="52">
        <f t="shared" si="8"/>
        <v>0</v>
      </c>
    </row>
    <row r="62" spans="1:14">
      <c r="A62" s="67">
        <v>46001</v>
      </c>
      <c r="B62" s="58" t="s">
        <v>193</v>
      </c>
      <c r="C62" s="52">
        <f>+'balance 2022 inicial los andes '!C55</f>
        <v>4000000</v>
      </c>
      <c r="D62" s="52">
        <f>+'balance 2022 inicial los andes '!D55</f>
        <v>0</v>
      </c>
      <c r="E62" s="52">
        <f t="shared" si="5"/>
        <v>4000000</v>
      </c>
      <c r="F62" s="52">
        <f t="shared" si="6"/>
        <v>0</v>
      </c>
      <c r="G62" s="52"/>
      <c r="H62" s="52"/>
      <c r="I62" s="52">
        <f t="shared" si="7"/>
        <v>4000000</v>
      </c>
      <c r="J62" s="52">
        <f t="shared" si="8"/>
        <v>0</v>
      </c>
    </row>
    <row r="63" spans="1:14">
      <c r="A63" s="67">
        <v>47141</v>
      </c>
      <c r="B63" s="58" t="s">
        <v>85</v>
      </c>
      <c r="C63" s="52">
        <f>+'ajustes 2022'!E33</f>
        <v>7865000</v>
      </c>
      <c r="D63" s="52">
        <f>+'balance 2022 inicial los andes '!D56</f>
        <v>0</v>
      </c>
      <c r="E63" s="52">
        <f t="shared" si="5"/>
        <v>7865000</v>
      </c>
      <c r="F63" s="52">
        <f t="shared" si="6"/>
        <v>0</v>
      </c>
      <c r="G63" s="52"/>
      <c r="H63" s="52"/>
      <c r="I63" s="52">
        <f t="shared" si="7"/>
        <v>7865000</v>
      </c>
      <c r="J63" s="52">
        <f t="shared" si="8"/>
        <v>0</v>
      </c>
      <c r="M63" s="5"/>
    </row>
    <row r="64" spans="1:14" hidden="1">
      <c r="A64" s="67">
        <v>47151</v>
      </c>
      <c r="B64" s="58" t="s">
        <v>89</v>
      </c>
      <c r="C64" s="52">
        <f>+'balance 2022 inicial los andes '!C57</f>
        <v>0</v>
      </c>
      <c r="D64" s="52">
        <f>+'balance 2022 inicial los andes '!D57</f>
        <v>0</v>
      </c>
      <c r="E64" s="52">
        <f t="shared" si="5"/>
        <v>0</v>
      </c>
      <c r="F64" s="52">
        <f t="shared" si="6"/>
        <v>0</v>
      </c>
      <c r="G64" s="52"/>
      <c r="H64" s="52"/>
      <c r="I64" s="52">
        <f t="shared" si="7"/>
        <v>0</v>
      </c>
      <c r="J64" s="52">
        <f t="shared" si="8"/>
        <v>0</v>
      </c>
      <c r="M64" s="5"/>
    </row>
    <row r="65" spans="1:13" hidden="1">
      <c r="A65" s="67">
        <v>47152</v>
      </c>
      <c r="B65" s="58" t="s">
        <v>21</v>
      </c>
      <c r="C65" s="52">
        <f>+'balance 2022 inicial los andes '!C58</f>
        <v>0</v>
      </c>
      <c r="D65" s="52">
        <f>+'balance 2022 inicial los andes '!D58</f>
        <v>0</v>
      </c>
      <c r="E65" s="52">
        <f t="shared" si="5"/>
        <v>0</v>
      </c>
      <c r="F65" s="52">
        <f t="shared" si="6"/>
        <v>0</v>
      </c>
      <c r="G65" s="52"/>
      <c r="H65" s="52"/>
      <c r="I65" s="52">
        <f t="shared" si="7"/>
        <v>0</v>
      </c>
      <c r="J65" s="52">
        <f t="shared" si="8"/>
        <v>0</v>
      </c>
      <c r="M65" s="5"/>
    </row>
    <row r="66" spans="1:13" hidden="1">
      <c r="A66" s="67">
        <v>48001</v>
      </c>
      <c r="B66" s="58" t="s">
        <v>90</v>
      </c>
      <c r="C66" s="52">
        <f>+'balance 2022 inicial los andes '!C59</f>
        <v>0</v>
      </c>
      <c r="D66" s="52">
        <f>+'balance 2022 inicial los andes '!D59</f>
        <v>0</v>
      </c>
      <c r="E66" s="52">
        <f t="shared" si="5"/>
        <v>0</v>
      </c>
      <c r="F66" s="52">
        <f t="shared" si="6"/>
        <v>0</v>
      </c>
      <c r="G66" s="52"/>
      <c r="H66" s="52"/>
      <c r="I66" s="52">
        <f t="shared" si="7"/>
        <v>0</v>
      </c>
      <c r="J66" s="52">
        <f t="shared" si="8"/>
        <v>0</v>
      </c>
      <c r="M66" s="5"/>
    </row>
    <row r="67" spans="1:13" hidden="1">
      <c r="A67" s="67">
        <v>48101</v>
      </c>
      <c r="B67" s="58" t="s">
        <v>100</v>
      </c>
      <c r="C67" s="52">
        <f>+'balance 2022 inicial los andes '!C60</f>
        <v>0</v>
      </c>
      <c r="D67" s="52">
        <f>+'balance 2022 inicial los andes '!D60</f>
        <v>0</v>
      </c>
      <c r="E67" s="52">
        <f t="shared" si="5"/>
        <v>0</v>
      </c>
      <c r="F67" s="52">
        <f t="shared" si="6"/>
        <v>0</v>
      </c>
      <c r="G67" s="52"/>
      <c r="H67" s="52"/>
      <c r="I67" s="52">
        <f t="shared" si="7"/>
        <v>0</v>
      </c>
      <c r="J67" s="52">
        <f t="shared" si="8"/>
        <v>0</v>
      </c>
      <c r="M67" s="5"/>
    </row>
    <row r="68" spans="1:13" hidden="1">
      <c r="A68" s="67">
        <v>48150</v>
      </c>
      <c r="B68" s="58" t="s">
        <v>94</v>
      </c>
      <c r="C68" s="52">
        <f>+'balance 2022 inicial los andes '!C61</f>
        <v>0</v>
      </c>
      <c r="D68" s="52">
        <f>+'balance 2022 inicial los andes '!D61</f>
        <v>0</v>
      </c>
      <c r="E68" s="52">
        <f t="shared" si="5"/>
        <v>0</v>
      </c>
      <c r="F68" s="52">
        <f t="shared" si="6"/>
        <v>0</v>
      </c>
      <c r="G68" s="52"/>
      <c r="H68" s="52"/>
      <c r="I68" s="52">
        <f t="shared" si="7"/>
        <v>0</v>
      </c>
      <c r="J68" s="52">
        <f t="shared" si="8"/>
        <v>0</v>
      </c>
      <c r="M68" s="5"/>
    </row>
    <row r="69" spans="1:13">
      <c r="A69" s="67">
        <v>49001</v>
      </c>
      <c r="B69" s="58" t="s">
        <v>92</v>
      </c>
      <c r="C69" s="52">
        <f>+'ajustes 2022'!E15</f>
        <v>5166666.666666666</v>
      </c>
      <c r="D69" s="52">
        <f>+'balance 2022 inicial los andes '!D62</f>
        <v>0</v>
      </c>
      <c r="E69" s="52">
        <f t="shared" si="5"/>
        <v>5166666.666666666</v>
      </c>
      <c r="F69" s="52">
        <f t="shared" si="6"/>
        <v>0</v>
      </c>
      <c r="G69" s="52"/>
      <c r="H69" s="52"/>
      <c r="I69" s="52">
        <f t="shared" si="7"/>
        <v>5166666.666666666</v>
      </c>
      <c r="J69" s="52">
        <f t="shared" si="8"/>
        <v>0</v>
      </c>
    </row>
    <row r="70" spans="1:13" hidden="1">
      <c r="A70" s="67">
        <v>49101</v>
      </c>
      <c r="B70" s="58" t="s">
        <v>93</v>
      </c>
      <c r="C70" s="52">
        <f>+'balance 2022 inicial los andes '!C63</f>
        <v>0</v>
      </c>
      <c r="D70" s="52">
        <f>+'balance 2022 inicial los andes '!D63</f>
        <v>0</v>
      </c>
      <c r="E70" s="52">
        <f t="shared" si="5"/>
        <v>0</v>
      </c>
      <c r="F70" s="52">
        <f t="shared" si="6"/>
        <v>0</v>
      </c>
      <c r="G70" s="52"/>
      <c r="H70" s="52"/>
      <c r="I70" s="52">
        <f t="shared" si="7"/>
        <v>0</v>
      </c>
      <c r="J70" s="52">
        <f t="shared" si="8"/>
        <v>0</v>
      </c>
    </row>
    <row r="71" spans="1:13" hidden="1">
      <c r="A71" s="67">
        <v>49120</v>
      </c>
      <c r="B71" s="58" t="s">
        <v>97</v>
      </c>
      <c r="C71" s="52">
        <f>+'balance 2022 inicial los andes '!C64</f>
        <v>0</v>
      </c>
      <c r="D71" s="52">
        <f>+'balance 2022 inicial los andes '!D64</f>
        <v>0</v>
      </c>
      <c r="E71" s="52">
        <f t="shared" si="5"/>
        <v>0</v>
      </c>
      <c r="F71" s="52">
        <f t="shared" si="6"/>
        <v>0</v>
      </c>
      <c r="G71" s="52"/>
      <c r="H71" s="52"/>
      <c r="I71" s="52">
        <f t="shared" si="7"/>
        <v>0</v>
      </c>
      <c r="J71" s="52">
        <f t="shared" si="8"/>
        <v>0</v>
      </c>
    </row>
    <row r="72" spans="1:13">
      <c r="A72" s="67">
        <v>50001</v>
      </c>
      <c r="B72" s="58" t="s">
        <v>75</v>
      </c>
      <c r="C72" s="52">
        <f>+'balance 2022 inicial los andes '!C65</f>
        <v>0</v>
      </c>
      <c r="D72" s="52">
        <f>+'balance 2022 inicial los andes '!D65</f>
        <v>3567000</v>
      </c>
      <c r="E72" s="52">
        <f t="shared" si="5"/>
        <v>0</v>
      </c>
      <c r="F72" s="52">
        <f t="shared" si="6"/>
        <v>3567000</v>
      </c>
      <c r="G72" s="52"/>
      <c r="H72" s="52"/>
      <c r="I72" s="52">
        <f t="shared" si="7"/>
        <v>0</v>
      </c>
      <c r="J72" s="52">
        <f t="shared" si="8"/>
        <v>3567000</v>
      </c>
    </row>
    <row r="73" spans="1:13">
      <c r="A73" s="67">
        <v>50051</v>
      </c>
      <c r="B73" s="58" t="s">
        <v>84</v>
      </c>
      <c r="C73" s="52">
        <f>+'balance 2022 inicial los andes '!C66</f>
        <v>0</v>
      </c>
      <c r="D73" s="52">
        <f>+'ajustes 2022'!F10</f>
        <v>280000</v>
      </c>
      <c r="E73" s="52">
        <f t="shared" si="5"/>
        <v>0</v>
      </c>
      <c r="F73" s="52">
        <f t="shared" si="6"/>
        <v>280000</v>
      </c>
      <c r="G73" s="52"/>
      <c r="H73" s="52"/>
      <c r="I73" s="52">
        <f t="shared" si="7"/>
        <v>0</v>
      </c>
      <c r="J73" s="52">
        <f t="shared" si="8"/>
        <v>280000</v>
      </c>
    </row>
    <row r="74" spans="1:13">
      <c r="A74" s="67">
        <v>51001</v>
      </c>
      <c r="B74" s="58" t="s">
        <v>76</v>
      </c>
      <c r="C74" s="52">
        <f>+'balance 2022 inicial los andes '!C67</f>
        <v>0</v>
      </c>
      <c r="D74" s="52">
        <f>+'balance 2022 inicial los andes '!D67</f>
        <v>950000000</v>
      </c>
      <c r="E74" s="52">
        <f t="shared" si="5"/>
        <v>0</v>
      </c>
      <c r="F74" s="52">
        <f t="shared" si="6"/>
        <v>950000000</v>
      </c>
      <c r="G74" s="52"/>
      <c r="H74" s="52"/>
      <c r="I74" s="52">
        <f t="shared" si="7"/>
        <v>0</v>
      </c>
      <c r="J74" s="52">
        <f t="shared" si="8"/>
        <v>950000000</v>
      </c>
    </row>
    <row r="75" spans="1:13" ht="15.75">
      <c r="A75" s="64"/>
      <c r="B75" s="60"/>
      <c r="C75" s="61">
        <f>SUM(C5:C74)</f>
        <v>3468627366.6666665</v>
      </c>
      <c r="D75" s="61">
        <f t="shared" ref="D75:J75" si="9">SUM(D5:D74)</f>
        <v>3468627366.666667</v>
      </c>
      <c r="E75" s="61">
        <f t="shared" si="9"/>
        <v>1545505966.6666667</v>
      </c>
      <c r="F75" s="61">
        <f t="shared" si="9"/>
        <v>1545505966.6666665</v>
      </c>
      <c r="G75" s="61">
        <f t="shared" si="9"/>
        <v>1164825800</v>
      </c>
      <c r="H75" s="61">
        <f t="shared" si="9"/>
        <v>591658966.66666663</v>
      </c>
      <c r="I75" s="61">
        <f t="shared" si="9"/>
        <v>380680166.66666669</v>
      </c>
      <c r="J75" s="61">
        <f t="shared" si="9"/>
        <v>953847000</v>
      </c>
    </row>
    <row r="76" spans="1:13" ht="15.75">
      <c r="A76" s="65"/>
      <c r="B76" s="62" t="s">
        <v>77</v>
      </c>
      <c r="C76" s="61"/>
      <c r="D76" s="61"/>
      <c r="E76" s="61"/>
      <c r="F76" s="61"/>
      <c r="G76" s="61"/>
      <c r="H76" s="61">
        <f>+G75-H75</f>
        <v>573166833.33333337</v>
      </c>
      <c r="I76" s="61">
        <f>+J75-I75</f>
        <v>573166833.33333325</v>
      </c>
      <c r="J76" s="61"/>
    </row>
    <row r="77" spans="1:13">
      <c r="A77" s="65"/>
      <c r="B77" s="58" t="s">
        <v>0</v>
      </c>
      <c r="C77" s="59">
        <f>C75</f>
        <v>3468627366.6666665</v>
      </c>
      <c r="D77" s="59">
        <f t="shared" ref="D77:F77" si="10">D75</f>
        <v>3468627366.666667</v>
      </c>
      <c r="E77" s="59">
        <f t="shared" si="10"/>
        <v>1545505966.6666667</v>
      </c>
      <c r="F77" s="59">
        <f t="shared" si="10"/>
        <v>1545505966.6666665</v>
      </c>
      <c r="G77" s="59">
        <f>SUM(G75:G76)</f>
        <v>1164825800</v>
      </c>
      <c r="H77" s="59">
        <f t="shared" ref="H77:J77" si="11">SUM(H75:H76)</f>
        <v>1164825800</v>
      </c>
      <c r="I77" s="59">
        <f t="shared" si="11"/>
        <v>953847000</v>
      </c>
      <c r="J77" s="59">
        <f t="shared" si="11"/>
        <v>953847000</v>
      </c>
    </row>
    <row r="78" spans="1:13">
      <c r="D78" s="5">
        <f>+C77-D77</f>
        <v>0</v>
      </c>
      <c r="E78" s="5"/>
      <c r="F78" s="5"/>
      <c r="H78" s="5"/>
      <c r="I78" s="5"/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opLeftCell="A7" zoomScaleNormal="100" workbookViewId="0">
      <selection activeCell="W22" sqref="W22"/>
    </sheetView>
  </sheetViews>
  <sheetFormatPr baseColWidth="10" defaultColWidth="11.5703125" defaultRowHeight="1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4" customWidth="1"/>
    <col min="18" max="18" width="6" style="513" customWidth="1"/>
    <col min="19" max="19" width="9.140625" style="515" customWidth="1"/>
    <col min="20" max="20" width="7" style="513" customWidth="1"/>
    <col min="21" max="21" width="8.4257812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6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6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6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6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6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6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6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6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6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6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6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6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6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6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6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6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6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6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6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6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6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6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6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6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6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6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6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6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6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6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6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6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6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6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6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6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6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6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6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6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6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6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6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6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6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6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6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6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6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6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6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6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6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6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6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6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6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6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6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6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6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6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6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3" ht="15.75" thickBot="1"/>
    <row r="2" spans="3:23">
      <c r="C2" s="744" t="s">
        <v>583</v>
      </c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6"/>
    </row>
    <row r="3" spans="3:23" ht="28.7" customHeight="1" thickBot="1">
      <c r="C3" s="747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/>
    </row>
    <row r="4" spans="3:23" ht="27" customHeight="1">
      <c r="C4" s="516" t="s">
        <v>584</v>
      </c>
      <c r="D4" s="517"/>
      <c r="E4" s="517"/>
      <c r="F4" s="517"/>
      <c r="G4" s="517"/>
      <c r="H4" s="517"/>
      <c r="I4" s="517"/>
      <c r="J4" s="517"/>
      <c r="K4" s="296">
        <v>1445</v>
      </c>
      <c r="L4" s="750"/>
      <c r="M4" s="750"/>
      <c r="N4" s="750"/>
      <c r="O4" s="750"/>
      <c r="P4" s="750"/>
      <c r="Q4" s="518" t="s">
        <v>424</v>
      </c>
      <c r="S4" s="515" t="s">
        <v>585</v>
      </c>
      <c r="V4" s="515"/>
      <c r="W4" s="515"/>
    </row>
    <row r="5" spans="3:23" ht="27" customHeight="1">
      <c r="C5" s="519" t="s">
        <v>586</v>
      </c>
      <c r="D5" s="520"/>
      <c r="E5" s="520"/>
      <c r="F5" s="520"/>
      <c r="G5" s="520"/>
      <c r="H5" s="520"/>
      <c r="I5" s="520"/>
      <c r="J5" s="520"/>
      <c r="K5" s="313">
        <v>1446</v>
      </c>
      <c r="L5" s="751"/>
      <c r="M5" s="751"/>
      <c r="N5" s="751"/>
      <c r="O5" s="751"/>
      <c r="P5" s="751"/>
      <c r="Q5" s="521" t="s">
        <v>448</v>
      </c>
      <c r="S5" s="515" t="s">
        <v>585</v>
      </c>
      <c r="V5" s="515"/>
    </row>
    <row r="6" spans="3:23" ht="27" customHeight="1">
      <c r="C6" s="519" t="s">
        <v>587</v>
      </c>
      <c r="D6" s="520"/>
      <c r="E6" s="520"/>
      <c r="F6" s="520"/>
      <c r="G6" s="520"/>
      <c r="H6" s="520"/>
      <c r="I6" s="520"/>
      <c r="J6" s="520"/>
      <c r="K6" s="313">
        <v>1374</v>
      </c>
      <c r="L6" s="751">
        <f>+'balance 2022 final los andes '!H45-'balance 2022 final los andes '!G46-'balance 2022 final los andes '!G47</f>
        <v>100000000</v>
      </c>
      <c r="M6" s="751"/>
      <c r="N6" s="751"/>
      <c r="O6" s="751"/>
      <c r="P6" s="751"/>
      <c r="Q6" s="522" t="s">
        <v>424</v>
      </c>
      <c r="S6" s="515" t="s">
        <v>588</v>
      </c>
    </row>
    <row r="7" spans="3:23" ht="27" customHeight="1">
      <c r="C7" s="523" t="s">
        <v>589</v>
      </c>
      <c r="D7" s="524"/>
      <c r="E7" s="524"/>
      <c r="F7" s="524"/>
      <c r="G7" s="524"/>
      <c r="H7" s="524"/>
      <c r="I7" s="524"/>
      <c r="J7" s="524"/>
      <c r="K7" s="525">
        <v>1375</v>
      </c>
      <c r="L7" s="752"/>
      <c r="M7" s="752"/>
      <c r="N7" s="752"/>
      <c r="O7" s="752"/>
      <c r="P7" s="752"/>
      <c r="Q7" s="526" t="s">
        <v>424</v>
      </c>
    </row>
    <row r="8" spans="3:23" ht="27" customHeight="1">
      <c r="C8" s="753" t="s">
        <v>590</v>
      </c>
      <c r="D8" s="754"/>
      <c r="E8" s="754"/>
      <c r="F8" s="754"/>
      <c r="G8" s="754"/>
      <c r="H8" s="754"/>
      <c r="I8" s="754"/>
      <c r="J8" s="755"/>
      <c r="K8" s="313">
        <v>1376</v>
      </c>
      <c r="L8" s="756"/>
      <c r="M8" s="756"/>
      <c r="N8" s="756"/>
      <c r="O8" s="756"/>
      <c r="P8" s="756"/>
      <c r="Q8" s="527" t="s">
        <v>448</v>
      </c>
    </row>
    <row r="9" spans="3:23" ht="27" customHeight="1">
      <c r="C9" s="757" t="s">
        <v>591</v>
      </c>
      <c r="D9" s="758"/>
      <c r="E9" s="758"/>
      <c r="F9" s="758"/>
      <c r="G9" s="758"/>
      <c r="H9" s="758"/>
      <c r="I9" s="758"/>
      <c r="J9" s="759"/>
      <c r="K9" s="525">
        <v>1705</v>
      </c>
      <c r="L9" s="752"/>
      <c r="M9" s="752"/>
      <c r="N9" s="752"/>
      <c r="O9" s="752"/>
      <c r="P9" s="752"/>
      <c r="Q9" s="526" t="s">
        <v>424</v>
      </c>
      <c r="S9" s="515" t="s">
        <v>592</v>
      </c>
      <c r="U9" s="513" t="s">
        <v>593</v>
      </c>
    </row>
    <row r="10" spans="3:23" ht="27" customHeight="1">
      <c r="C10" s="753" t="s">
        <v>487</v>
      </c>
      <c r="D10" s="754"/>
      <c r="E10" s="754"/>
      <c r="F10" s="754"/>
      <c r="G10" s="754"/>
      <c r="H10" s="754"/>
      <c r="I10" s="754"/>
      <c r="J10" s="755"/>
      <c r="K10" s="313">
        <v>1706</v>
      </c>
      <c r="L10" s="756">
        <f>-'base imponible  at 2023 los and'!G65</f>
        <v>5566872.268907547</v>
      </c>
      <c r="M10" s="756"/>
      <c r="N10" s="756"/>
      <c r="O10" s="756"/>
      <c r="P10" s="756"/>
      <c r="Q10" s="527" t="s">
        <v>448</v>
      </c>
      <c r="S10" s="515" t="s">
        <v>594</v>
      </c>
    </row>
    <row r="11" spans="3:23" ht="27" customHeight="1">
      <c r="C11" s="519" t="s">
        <v>470</v>
      </c>
      <c r="D11" s="520"/>
      <c r="E11" s="520"/>
      <c r="F11" s="520"/>
      <c r="G11" s="520"/>
      <c r="H11" s="520"/>
      <c r="I11" s="520"/>
      <c r="J11" s="520"/>
      <c r="K11" s="313">
        <v>1707</v>
      </c>
      <c r="L11" s="751"/>
      <c r="M11" s="751"/>
      <c r="N11" s="751"/>
      <c r="O11" s="751"/>
      <c r="P11" s="751"/>
      <c r="Q11" s="522" t="s">
        <v>424</v>
      </c>
      <c r="S11" s="515" t="s">
        <v>595</v>
      </c>
    </row>
    <row r="12" spans="3:23" ht="27" customHeight="1">
      <c r="C12" s="738" t="s">
        <v>596</v>
      </c>
      <c r="D12" s="739"/>
      <c r="E12" s="739"/>
      <c r="F12" s="739"/>
      <c r="G12" s="739"/>
      <c r="H12" s="739"/>
      <c r="I12" s="739"/>
      <c r="J12" s="739"/>
      <c r="K12" s="301">
        <v>1377</v>
      </c>
      <c r="L12" s="737"/>
      <c r="M12" s="737"/>
      <c r="N12" s="737"/>
      <c r="O12" s="737"/>
      <c r="P12" s="737"/>
      <c r="Q12" s="528" t="s">
        <v>424</v>
      </c>
    </row>
    <row r="13" spans="3:23" ht="27" customHeight="1">
      <c r="C13" s="741" t="s">
        <v>597</v>
      </c>
      <c r="D13" s="742"/>
      <c r="E13" s="742"/>
      <c r="F13" s="742"/>
      <c r="G13" s="742"/>
      <c r="H13" s="742"/>
      <c r="I13" s="742"/>
      <c r="J13" s="743"/>
      <c r="K13" s="301">
        <v>1378</v>
      </c>
      <c r="L13" s="737"/>
      <c r="M13" s="737"/>
      <c r="N13" s="737"/>
      <c r="O13" s="737"/>
      <c r="P13" s="737"/>
      <c r="Q13" s="529" t="s">
        <v>448</v>
      </c>
    </row>
    <row r="14" spans="3:23" ht="27" customHeight="1">
      <c r="C14" s="741" t="s">
        <v>598</v>
      </c>
      <c r="D14" s="742"/>
      <c r="E14" s="742"/>
      <c r="F14" s="742"/>
      <c r="G14" s="742"/>
      <c r="H14" s="742"/>
      <c r="I14" s="742"/>
      <c r="J14" s="743"/>
      <c r="K14" s="301">
        <v>1726</v>
      </c>
      <c r="L14" s="737"/>
      <c r="M14" s="737"/>
      <c r="N14" s="737"/>
      <c r="O14" s="737"/>
      <c r="P14" s="737"/>
      <c r="Q14" s="528" t="s">
        <v>424</v>
      </c>
    </row>
    <row r="15" spans="3:23" ht="27" customHeight="1">
      <c r="C15" s="738" t="s">
        <v>599</v>
      </c>
      <c r="D15" s="739"/>
      <c r="E15" s="739"/>
      <c r="F15" s="739"/>
      <c r="G15" s="739"/>
      <c r="H15" s="739"/>
      <c r="I15" s="739"/>
      <c r="J15" s="739"/>
      <c r="K15" s="301">
        <v>1591</v>
      </c>
      <c r="L15" s="737"/>
      <c r="M15" s="737"/>
      <c r="N15" s="737"/>
      <c r="O15" s="737"/>
      <c r="P15" s="737"/>
      <c r="Q15" s="529" t="s">
        <v>448</v>
      </c>
    </row>
    <row r="16" spans="3:23" ht="27" customHeight="1">
      <c r="C16" s="738" t="s">
        <v>600</v>
      </c>
      <c r="D16" s="739"/>
      <c r="E16" s="739"/>
      <c r="F16" s="739"/>
      <c r="G16" s="739"/>
      <c r="H16" s="739"/>
      <c r="I16" s="739"/>
      <c r="J16" s="740"/>
      <c r="K16" s="301">
        <v>1479</v>
      </c>
      <c r="L16" s="737">
        <f>+'balance 2022 final los andes '!G49</f>
        <v>25000000</v>
      </c>
      <c r="M16" s="737"/>
      <c r="N16" s="737"/>
      <c r="O16" s="737"/>
      <c r="P16" s="737"/>
      <c r="Q16" s="529" t="s">
        <v>448</v>
      </c>
    </row>
    <row r="17" spans="3:17" ht="27" customHeight="1">
      <c r="C17" s="738" t="s">
        <v>601</v>
      </c>
      <c r="D17" s="739"/>
      <c r="E17" s="739"/>
      <c r="F17" s="739"/>
      <c r="G17" s="739"/>
      <c r="H17" s="739"/>
      <c r="I17" s="739"/>
      <c r="J17" s="739"/>
      <c r="K17" s="301">
        <v>1708</v>
      </c>
      <c r="L17" s="737">
        <f>+'balance 2022 final los andes '!I59+'balance 2022 final los andes '!I62</f>
        <v>5980000</v>
      </c>
      <c r="M17" s="737"/>
      <c r="N17" s="737"/>
      <c r="O17" s="737"/>
      <c r="P17" s="737"/>
      <c r="Q17" s="529" t="s">
        <v>448</v>
      </c>
    </row>
    <row r="18" spans="3:17" ht="27" customHeight="1">
      <c r="C18" s="738" t="s">
        <v>602</v>
      </c>
      <c r="D18" s="739"/>
      <c r="E18" s="739"/>
      <c r="F18" s="739"/>
      <c r="G18" s="739"/>
      <c r="H18" s="739"/>
      <c r="I18" s="739"/>
      <c r="J18" s="739"/>
      <c r="K18" s="301">
        <v>1709</v>
      </c>
      <c r="L18" s="737"/>
      <c r="M18" s="737"/>
      <c r="N18" s="737"/>
      <c r="O18" s="737"/>
      <c r="P18" s="737"/>
      <c r="Q18" s="529" t="s">
        <v>448</v>
      </c>
    </row>
    <row r="19" spans="3:17" ht="27" customHeight="1">
      <c r="C19" s="741" t="s">
        <v>603</v>
      </c>
      <c r="D19" s="742"/>
      <c r="E19" s="742"/>
      <c r="F19" s="742"/>
      <c r="G19" s="742"/>
      <c r="H19" s="742"/>
      <c r="I19" s="742"/>
      <c r="J19" s="743"/>
      <c r="K19" s="301">
        <v>1379</v>
      </c>
      <c r="L19" s="737"/>
      <c r="M19" s="737"/>
      <c r="N19" s="737"/>
      <c r="O19" s="737"/>
      <c r="P19" s="737"/>
      <c r="Q19" s="529" t="s">
        <v>448</v>
      </c>
    </row>
    <row r="20" spans="3:17" ht="27" customHeight="1">
      <c r="C20" s="530" t="s">
        <v>481</v>
      </c>
      <c r="D20" s="531"/>
      <c r="E20" s="531"/>
      <c r="F20" s="531"/>
      <c r="G20" s="531"/>
      <c r="H20" s="531"/>
      <c r="I20" s="531"/>
      <c r="J20" s="531"/>
      <c r="K20" s="301">
        <v>1710</v>
      </c>
      <c r="L20" s="737">
        <f>+'[14]R17 14 D3'!L40:P40</f>
        <v>0</v>
      </c>
      <c r="M20" s="737"/>
      <c r="N20" s="737"/>
      <c r="O20" s="737"/>
      <c r="P20" s="737"/>
      <c r="Q20" s="528" t="s">
        <v>424</v>
      </c>
    </row>
    <row r="21" spans="3:17" ht="27" customHeight="1">
      <c r="C21" s="741" t="s">
        <v>604</v>
      </c>
      <c r="D21" s="742"/>
      <c r="E21" s="742"/>
      <c r="F21" s="742"/>
      <c r="G21" s="742"/>
      <c r="H21" s="742"/>
      <c r="I21" s="742"/>
      <c r="J21" s="743"/>
      <c r="K21" s="301">
        <v>1711</v>
      </c>
      <c r="L21" s="737">
        <f>+'[14]R17 14 D3'!L41:P41</f>
        <v>0</v>
      </c>
      <c r="M21" s="737"/>
      <c r="N21" s="737"/>
      <c r="O21" s="737"/>
      <c r="P21" s="737"/>
      <c r="Q21" s="528" t="s">
        <v>424</v>
      </c>
    </row>
    <row r="22" spans="3:17" ht="27" customHeight="1">
      <c r="C22" s="532" t="s">
        <v>605</v>
      </c>
      <c r="D22" s="531"/>
      <c r="E22" s="531"/>
      <c r="F22" s="531"/>
      <c r="G22" s="531"/>
      <c r="H22" s="531"/>
      <c r="I22" s="531"/>
      <c r="J22" s="531"/>
      <c r="K22" s="301">
        <v>1380</v>
      </c>
      <c r="L22" s="737"/>
      <c r="M22" s="737"/>
      <c r="N22" s="737"/>
      <c r="O22" s="737"/>
      <c r="P22" s="737"/>
      <c r="Q22" s="528" t="s">
        <v>424</v>
      </c>
    </row>
    <row r="23" spans="3:17" ht="27" customHeight="1" thickBot="1">
      <c r="C23" s="533" t="s">
        <v>606</v>
      </c>
      <c r="D23" s="534"/>
      <c r="E23" s="534"/>
      <c r="F23" s="534"/>
      <c r="G23" s="534"/>
      <c r="H23" s="534"/>
      <c r="I23" s="534"/>
      <c r="J23" s="534"/>
      <c r="K23" s="535">
        <v>1381</v>
      </c>
      <c r="L23" s="732"/>
      <c r="M23" s="732"/>
      <c r="N23" s="732"/>
      <c r="O23" s="732"/>
      <c r="P23" s="732"/>
      <c r="Q23" s="536" t="s">
        <v>448</v>
      </c>
    </row>
    <row r="24" spans="3:17" ht="27" customHeight="1" thickBot="1">
      <c r="C24" s="733" t="s">
        <v>607</v>
      </c>
      <c r="D24" s="734"/>
      <c r="E24" s="734"/>
      <c r="F24" s="734"/>
      <c r="G24" s="734"/>
      <c r="H24" s="734"/>
      <c r="I24" s="734"/>
      <c r="J24" s="735"/>
      <c r="K24" s="351">
        <v>1545</v>
      </c>
      <c r="L24" s="736">
        <f>+L4-L5+L6+L7-L8+L9-L10+L11+L12-L13+L14-L15-L16-L17-L18-L19+L20+L21+L22-L23</f>
        <v>63453127.731092453</v>
      </c>
      <c r="M24" s="736"/>
      <c r="N24" s="736"/>
      <c r="O24" s="736"/>
      <c r="P24" s="736"/>
      <c r="Q24" s="537" t="s">
        <v>422</v>
      </c>
    </row>
    <row r="25" spans="3:17" ht="27" customHeight="1" thickBot="1">
      <c r="C25" s="733" t="s">
        <v>608</v>
      </c>
      <c r="D25" s="734"/>
      <c r="E25" s="734"/>
      <c r="F25" s="734"/>
      <c r="G25" s="734"/>
      <c r="H25" s="734"/>
      <c r="I25" s="734"/>
      <c r="J25" s="735"/>
      <c r="K25" s="351">
        <v>1546</v>
      </c>
      <c r="L25" s="736"/>
      <c r="M25" s="736"/>
      <c r="N25" s="736"/>
      <c r="O25" s="736"/>
      <c r="P25" s="736"/>
      <c r="Q25" s="537" t="s">
        <v>422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10</vt:i4>
      </vt:variant>
    </vt:vector>
  </HeadingPairs>
  <TitlesOfParts>
    <vt:vector size="41" baseType="lpstr">
      <vt:lpstr>balance 2022 inicial los andes </vt:lpstr>
      <vt:lpstr>activo no corriente 2022 </vt:lpstr>
      <vt:lpstr>provision vacaciones dos años </vt:lpstr>
      <vt:lpstr>balance 2022 antes impto andes</vt:lpstr>
      <vt:lpstr>ajustes 2022</vt:lpstr>
      <vt:lpstr>base imponible  at 2023 los and</vt:lpstr>
      <vt:lpstr>impuesto diferido</vt:lpstr>
      <vt:lpstr>balance 2022 final los andes </vt:lpstr>
      <vt:lpstr>R19 los andes at 2023</vt:lpstr>
      <vt:lpstr>R18 los andes at 2023</vt:lpstr>
      <vt:lpstr>rtre los andes at 2023</vt:lpstr>
      <vt:lpstr>leasing 2023</vt:lpstr>
      <vt:lpstr>balance YYY SAC 2023 </vt:lpstr>
      <vt:lpstr>fusion impropia 2023</vt:lpstr>
      <vt:lpstr>activo no corriente 2023</vt:lpstr>
      <vt:lpstr>Libro Diario 2023 </vt:lpstr>
      <vt:lpstr>cuentas T 2023</vt:lpstr>
      <vt:lpstr>balance 2023 los andes antes im</vt:lpstr>
      <vt:lpstr>base imponible  at 2024</vt:lpstr>
      <vt:lpstr>impuesto diferido 2023</vt:lpstr>
      <vt:lpstr>balance 2023 los andes final </vt:lpstr>
      <vt:lpstr>ESF Clasif 2023</vt:lpstr>
      <vt:lpstr>ER Funcion 2023</vt:lpstr>
      <vt:lpstr>Flujo Caja 2023</vt:lpstr>
      <vt:lpstr>Estado Cambio Patrimonial </vt:lpstr>
      <vt:lpstr>base imponible YYY SAC At 2024</vt:lpstr>
      <vt:lpstr>rtre YYY SAC AT 2024</vt:lpstr>
      <vt:lpstr>R19 los andes at 2024</vt:lpstr>
      <vt:lpstr>R18 los andes at 2024</vt:lpstr>
      <vt:lpstr>rtre los andes at 2024</vt:lpstr>
      <vt:lpstr>rtre los andes AT 2025</vt:lpstr>
      <vt:lpstr>'activo no corriente 2022 '!Área_de_impresión</vt:lpstr>
      <vt:lpstr>'activo no corriente 2023'!Área_de_impresión</vt:lpstr>
      <vt:lpstr>'R18 los andes at 2023'!Área_de_impresión</vt:lpstr>
      <vt:lpstr>'R18 los andes at 2024'!Área_de_impresión</vt:lpstr>
      <vt:lpstr>'R19 los andes at 2023'!Área_de_impresión</vt:lpstr>
      <vt:lpstr>'R19 los andes at 2024'!Área_de_impresión</vt:lpstr>
      <vt:lpstr>'rtre los andes at 2023'!Área_de_impresión</vt:lpstr>
      <vt:lpstr>'rtre los andes at 2024'!Área_de_impresión</vt:lpstr>
      <vt:lpstr>'rtre los andes AT 2025'!Área_de_impresión</vt:lpstr>
      <vt:lpstr>'rtre YYY SAC AT 2024'!Área_de_impresión</vt:lpstr>
    </vt:vector>
  </TitlesOfParts>
  <Company>----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ROBERTO</cp:lastModifiedBy>
  <dcterms:created xsi:type="dcterms:W3CDTF">2016-11-04T20:16:45Z</dcterms:created>
  <dcterms:modified xsi:type="dcterms:W3CDTF">2024-01-06T08:26:47Z</dcterms:modified>
</cp:coreProperties>
</file>